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05" tabRatio="928" firstSheet="1" activeTab="1"/>
  </bookViews>
  <sheets>
    <sheet name="Cost index" sheetId="1" state="hidden" r:id="rId1"/>
    <sheet name="1. JOB COST SUMMARY" sheetId="2" r:id="rId2"/>
    <sheet name="2. COST VARIABLES" sheetId="3" r:id="rId3"/>
    <sheet name="3. MACHINES" sheetId="4" r:id="rId4"/>
    <sheet name="4. ROPES &amp; RIGGING" sheetId="5" r:id="rId5"/>
    <sheet name="5. CHAINSAWS" sheetId="6" r:id="rId6"/>
    <sheet name="6. LABOUR" sheetId="7" r:id="rId7"/>
    <sheet name="7. VEHICLES" sheetId="8" r:id="rId8"/>
    <sheet name="8. OPERATING SUPPLIES" sheetId="9" r:id="rId9"/>
    <sheet name="9. OVERHEADS" sheetId="10" r:id="rId10"/>
    <sheet name="10. PRODUCTION" sheetId="11" r:id="rId11"/>
    <sheet name="CASHFL.XLS" sheetId="12" state="hidden" r:id="rId12"/>
  </sheets>
  <definedNames>
    <definedName name="_xlnm.Print_Area" localSheetId="1">'1. JOB COST SUMMARY'!$A$1:$H$56</definedName>
    <definedName name="_xlnm.Print_Area" localSheetId="3">'3. MACHINES'!$A$4:$AC$54</definedName>
    <definedName name="_xlnm.Print_Area" localSheetId="5">'5. CHAINSAWS'!$A$1:$I$52</definedName>
    <definedName name="_xlnm.Print_Area" localSheetId="7">'7. VEHICLES'!$A$1:$I$51</definedName>
    <definedName name="_xlnm.Print_Area" localSheetId="8">'8. OPERATING SUPPLIES'!$A$1:$D$54</definedName>
    <definedName name="_xlnm.Print_Area" localSheetId="9">'9. OVERHEADS'!$A$1:$H$43</definedName>
    <definedName name="_xlnm.Print_Area" localSheetId="11">'CASHFL.XLS'!$J$10:$W$76</definedName>
    <definedName name="_xlnm.Print_Area" localSheetId="0">'Cost index'!$A$1:$I$28</definedName>
    <definedName name="Record1">'MACRO3.XLM'!$A$1</definedName>
    <definedName name="Record10">'MACRO3.XLM'!$J$1</definedName>
    <definedName name="Record11">'MACRO3.XLM'!$K$1</definedName>
    <definedName name="Record12">'MACRO3.XLM'!$L$1</definedName>
    <definedName name="Record13">'MACRO3.XLM'!$M$1</definedName>
    <definedName name="Record14">'MACRO3.XLM'!$N$1</definedName>
    <definedName name="Record15">'MACRO3.XLM'!$O$1</definedName>
    <definedName name="Record16">'MACRO3.XLM'!$P$1</definedName>
    <definedName name="Record17">'MACRO3.XLM'!$Q$1</definedName>
    <definedName name="Record18">'MACRO3.XLM'!$R$1</definedName>
    <definedName name="Record19">'MACRO3.XLM'!$S$1</definedName>
    <definedName name="Record2">'MACRO3.XLM'!$B$1</definedName>
    <definedName name="Record20">'MACRO3.XLM'!$T$1</definedName>
    <definedName name="Record21">'MACRO3.XLM'!$U$1</definedName>
    <definedName name="Record22">'MACRO3.XLM'!$V$1</definedName>
    <definedName name="Record23">'MACRO3.XLM'!$W$1</definedName>
    <definedName name="Record24">'MACRO3.XLM'!$X$1</definedName>
    <definedName name="Record25">'MACRO3.XLM'!$Y$1</definedName>
    <definedName name="Record26">'MACRO3.XLM'!$AJ$1</definedName>
    <definedName name="Record27">'MACRO3.XLM'!$AK$1</definedName>
    <definedName name="Record28">'MACRO3.XLM'!$AL$1</definedName>
    <definedName name="Record29">'MACRO3.XLM'!$AM$1</definedName>
    <definedName name="Record3">'MACRO3.XLM'!$C$1</definedName>
    <definedName name="Record30">'MACRO3.XLM'!$AN$1</definedName>
    <definedName name="Record31">'MACRO3.XLM'!$N$14</definedName>
    <definedName name="Record32">'MACRO3.XLM'!$AE$1</definedName>
    <definedName name="Record33">'MACRO3.XLM'!$AF$1</definedName>
    <definedName name="Record34">'MACRO3.XLM'!$AG$1</definedName>
    <definedName name="Record35">'MACRO3.XLM'!$AH$1</definedName>
    <definedName name="Record36">'MACRO3.XLM'!$AI$1</definedName>
    <definedName name="Record37">'MACRO3.XLM'!$AO$1</definedName>
    <definedName name="Record38">'MACRO3.XLM'!$AP$1</definedName>
    <definedName name="Record39">'MACRO3.XLM'!$AQ$1</definedName>
    <definedName name="Record4">'MACRO3.XLM'!$D$1</definedName>
    <definedName name="Record40">'MACRO3.XLM'!$AR$1</definedName>
    <definedName name="Record41">'MACRO3.XLM'!$AS$1</definedName>
    <definedName name="Record42">'MACRO3.XLM'!$AT$1</definedName>
    <definedName name="Record43">'MACRO3.XLM'!$AU$1</definedName>
    <definedName name="Record44">'MACRO3.XLM'!$AV$1</definedName>
    <definedName name="Record45">'MACRO3.XLM'!$AW$1</definedName>
    <definedName name="Record46">'MACRO3.XLM'!$AX$1</definedName>
    <definedName name="Record47">'MACRO3.XLM'!$AY$1</definedName>
    <definedName name="Record48">'MACRO3.XLM'!$AZ$1</definedName>
    <definedName name="Record49">'MACRO3.XLM'!$BA$1</definedName>
    <definedName name="Record5">'MACRO3.XLM'!$E$1</definedName>
    <definedName name="Record50">'MACRO3.XLM'!$BB$1</definedName>
    <definedName name="Record51">'MACRO3.XLM'!$BC$1</definedName>
    <definedName name="Record52">'MACRO3.XLM'!$BD$1</definedName>
    <definedName name="Record53">'MACRO3.XLM'!$BE$1</definedName>
    <definedName name="Record54">'MACRO3.XLM'!$BF$1</definedName>
    <definedName name="Record55">'MACRO3.XLM'!$BG$1</definedName>
    <definedName name="Record56">'MACRO3.XLM'!$BH$1</definedName>
    <definedName name="Record57">'MACRO3.XLM'!$BI$1</definedName>
    <definedName name="Record58">'MACRO3.XLM'!$BJ$1</definedName>
    <definedName name="Record59">'MACRO3.XLM'!$BK$1</definedName>
    <definedName name="Record6">'MACRO3.XLM'!$F$1</definedName>
    <definedName name="Record60">'MACRO3.XLM'!$BL$1</definedName>
    <definedName name="Record61">'MACRO3.XLM'!$BM$1</definedName>
    <definedName name="Record62">'MACRO3.XLM'!$BN$1</definedName>
    <definedName name="Record63">'MACRO3.XLM'!$BO$1</definedName>
    <definedName name="Record64">'MACRO3.XLM'!$BP$1</definedName>
    <definedName name="Record65">'MACRO3.XLM'!$BQ$1</definedName>
    <definedName name="Record66">'MACRO3.XLM'!$BR$1</definedName>
    <definedName name="Record67">'MACRO3.XLM'!$BS$2:$BS$6</definedName>
    <definedName name="Record68">'MACRO3.XLM'!$BT$2:$BT$6</definedName>
    <definedName name="Record69">'MACRO3.XLM'!$BU$2:$BU$6</definedName>
    <definedName name="Record7">'MACRO3.XLM'!$G$1</definedName>
    <definedName name="Record70">'MACRO3.XLM'!$BV$2:$BV$6</definedName>
    <definedName name="Record71">'MACRO3.XLM'!$BW$2:$BW$6</definedName>
    <definedName name="Record72">'MACRO3.XLM'!$BX$2:$BX$6</definedName>
    <definedName name="Record73">'MACRO3.XLM'!$BY$2:$BY$6</definedName>
    <definedName name="Record74">'MACRO3.XLM'!$BZ$1</definedName>
    <definedName name="Record75">'MACRO3.XLM'!$CA$1</definedName>
    <definedName name="Record76">'MACRO3.XLM'!$CB$2:$CB$3</definedName>
    <definedName name="Record77">'MACRO3.XLM'!$CC$2:$CC$3</definedName>
    <definedName name="Record78">'MACRO3.XLM'!$CD$2:$CD$3</definedName>
    <definedName name="Record79">'MACRO3.XLM'!$CE$2:$CE$3</definedName>
    <definedName name="Record8">'MACRO3.XLM'!$H$1</definedName>
    <definedName name="Record80">'MACRO3.XLM'!$CF$2:$CF$3</definedName>
    <definedName name="Record81">'MACRO3.XLM'!$CG$2:$CG$3</definedName>
    <definedName name="Record82">'MACRO3.XLM'!$CH$2:$CH$3</definedName>
    <definedName name="Record83">'MACRO3.XLM'!$CI$1</definedName>
    <definedName name="Record84">'MACRO3.XLM'!$CJ$1</definedName>
    <definedName name="Record85">'MACRO3.XLM'!$CK$2:$CK$7</definedName>
    <definedName name="Record86">'MACRO3.XLM'!$CL$2:$CL$7</definedName>
    <definedName name="Record87">'MACRO3.XLM'!$CM$1</definedName>
    <definedName name="Record88">'MACRO3.XLM'!$CN$2</definedName>
    <definedName name="Record9">'MACRO3.XLM'!$I$1</definedName>
    <definedName name="RECORDER">'MACRO3.XLM'!$CJ$14:$CJ$16384</definedName>
  </definedNames>
  <calcPr fullCalcOnLoad="1"/>
</workbook>
</file>

<file path=xl/sharedStrings.xml><?xml version="1.0" encoding="utf-8"?>
<sst xmlns="http://schemas.openxmlformats.org/spreadsheetml/2006/main" count="2021" uniqueCount="665">
  <si>
    <t>JOB COSTING SPREADSHEET</t>
  </si>
  <si>
    <t>Version SF NSW 1.0</t>
  </si>
  <si>
    <t>Logging Industry Research Organisation</t>
  </si>
  <si>
    <t>Alastair Riddle 1997</t>
  </si>
  <si>
    <t>For Microsoft Excel 4.0 + above</t>
  </si>
  <si>
    <t>Index of Cost Factors</t>
  </si>
  <si>
    <t xml:space="preserve"> </t>
  </si>
  <si>
    <t>Factor</t>
  </si>
  <si>
    <t>Total annual cost</t>
  </si>
  <si>
    <t>Base Percent</t>
  </si>
  <si>
    <t>Notes</t>
  </si>
  <si>
    <t>Wages</t>
  </si>
  <si>
    <t>Workers compensation</t>
  </si>
  <si>
    <t>Superannuation</t>
  </si>
  <si>
    <t>Fuel</t>
  </si>
  <si>
    <t>Tyres/Tracks</t>
  </si>
  <si>
    <t>Repairs and maintenance</t>
  </si>
  <si>
    <t>Includes oil, R+M, Rigging</t>
  </si>
  <si>
    <t>Depreciation</t>
  </si>
  <si>
    <t>Interest</t>
  </si>
  <si>
    <t>Insurance</t>
  </si>
  <si>
    <t>Registration - third party</t>
  </si>
  <si>
    <t>Administration</t>
  </si>
  <si>
    <t>Includes overheads (less insurance), operating supplies,</t>
  </si>
  <si>
    <t xml:space="preserve">      tax free allowances and chainsaw (if costed separately)</t>
  </si>
  <si>
    <t>Total</t>
  </si>
  <si>
    <t>Daily</t>
  </si>
  <si>
    <t>Important</t>
  </si>
  <si>
    <t>NB  This worksheet automatically calculates the cost factors of only those machines costed in the main worksheet</t>
  </si>
  <si>
    <t xml:space="preserve">    'Jobcost.XLS'. It does not include any machines costed in 'Library.xls'. If you need more than two trucks or 6 machines</t>
  </si>
  <si>
    <t xml:space="preserve">    you will need to manually calculate cost factors for those extra machines, add to the total annual costs above and </t>
  </si>
  <si>
    <t xml:space="preserve">    recalculate base percentages manually</t>
  </si>
  <si>
    <t>Total annual cost (a)</t>
  </si>
  <si>
    <t>Base Percent (a/b%)</t>
  </si>
  <si>
    <t>Total (b)</t>
  </si>
  <si>
    <t>Daily (total/workdays)</t>
  </si>
  <si>
    <t>Check that this is the same as shown on your costing summary sheet</t>
  </si>
  <si>
    <t xml:space="preserve">   (before profit is added)</t>
  </si>
  <si>
    <t>Total paid days</t>
  </si>
  <si>
    <t>Workdays</t>
  </si>
  <si>
    <t>add Saturdays</t>
  </si>
  <si>
    <t xml:space="preserve">Office costs  - </t>
  </si>
  <si>
    <t>Either office rental, power and insurance</t>
  </si>
  <si>
    <t>Machine</t>
  </si>
  <si>
    <t>or  -   proportion of 'office area' over' home area' times the sum of</t>
  </si>
  <si>
    <t>Type</t>
  </si>
  <si>
    <t>Type: Petrol/diesel - P or D</t>
  </si>
  <si>
    <t>D</t>
  </si>
  <si>
    <t>Less annual holidays</t>
  </si>
  <si>
    <t>Current new price</t>
  </si>
  <si>
    <t>Capacity (cc)</t>
  </si>
  <si>
    <t xml:space="preserve">       statutory holidays</t>
  </si>
  <si>
    <t>Number</t>
  </si>
  <si>
    <t>Year purchased</t>
  </si>
  <si>
    <t>Hours per year</t>
  </si>
  <si>
    <t>km per year</t>
  </si>
  <si>
    <t xml:space="preserve">         wet days</t>
  </si>
  <si>
    <t>With saws</t>
  </si>
  <si>
    <t>Expected life (km)</t>
  </si>
  <si>
    <t xml:space="preserve">         Sick leave</t>
  </si>
  <si>
    <t>Without saw</t>
  </si>
  <si>
    <t xml:space="preserve">Office equipment </t>
  </si>
  <si>
    <t>Current used price</t>
  </si>
  <si>
    <t>Other tax free allowances</t>
  </si>
  <si>
    <t>Costing summary</t>
  </si>
  <si>
    <t>Tyre life (km) *</t>
  </si>
  <si>
    <t>Item</t>
  </si>
  <si>
    <t>Annual Registration</t>
  </si>
  <si>
    <t>Hourly Fixed costs</t>
  </si>
  <si>
    <t>Average capital invested</t>
  </si>
  <si>
    <t>Hourly Running costs</t>
  </si>
  <si>
    <t>Proportion of ACI as loan</t>
  </si>
  <si>
    <t>Y</t>
  </si>
  <si>
    <t>Postage, telephone and tolls</t>
  </si>
  <si>
    <t>Proportion of ACI as owners equity</t>
  </si>
  <si>
    <t>Chargeout rate per hour</t>
  </si>
  <si>
    <t>Chargeout rate per day</t>
  </si>
  <si>
    <t>Fuel to oil ratio (.... to 1)</t>
  </si>
  <si>
    <t>Loan interest rate</t>
  </si>
  <si>
    <t xml:space="preserve">Loan interest rate </t>
  </si>
  <si>
    <t>Operating supplies</t>
  </si>
  <si>
    <t>Clerical costs</t>
  </si>
  <si>
    <t>Fuel oil price ($ per litre)</t>
  </si>
  <si>
    <t xml:space="preserve">Owners interest rate </t>
  </si>
  <si>
    <t>Paint</t>
  </si>
  <si>
    <t xml:space="preserve">Fuel price ($ per litre) </t>
  </si>
  <si>
    <t>Accountancy and legal fees</t>
  </si>
  <si>
    <t>R + M as a % of depreciation *</t>
  </si>
  <si>
    <t>R + M as % of depreciation</t>
  </si>
  <si>
    <t>R + M as a % of depreciation</t>
  </si>
  <si>
    <t>Overheads</t>
  </si>
  <si>
    <t>Fixed costs ( $ )</t>
  </si>
  <si>
    <t>Running costs ( $ / hr )</t>
  </si>
  <si>
    <t>Fuel oil</t>
  </si>
  <si>
    <t>Other</t>
  </si>
  <si>
    <t xml:space="preserve">Chainsaws </t>
  </si>
  <si>
    <t xml:space="preserve">Annual depreciation </t>
  </si>
  <si>
    <t>Oil</t>
  </si>
  <si>
    <t>Repairs and Maintenance</t>
  </si>
  <si>
    <t>Chain</t>
  </si>
  <si>
    <t>Labour cost per workday</t>
  </si>
  <si>
    <t>Bar</t>
  </si>
  <si>
    <t>Price</t>
  </si>
  <si>
    <t>Weighted interest rate</t>
  </si>
  <si>
    <t>Interest charge per km</t>
  </si>
  <si>
    <t>Registration / Taxation per km</t>
  </si>
  <si>
    <t>*Chain life</t>
  </si>
  <si>
    <t xml:space="preserve">Radio Equipment </t>
  </si>
  <si>
    <t>Felling - clearfell - 15 days, thinning - 25 days</t>
  </si>
  <si>
    <t>Tools</t>
  </si>
  <si>
    <t>Thinnings skid work - 11 to 22 days, average 18.5 days</t>
  </si>
  <si>
    <t>For skid work: clearfell 45 days, thinnings 120 days.</t>
  </si>
  <si>
    <t>For felling: clearfell 80 days, thinnings 100 days.</t>
  </si>
  <si>
    <t>R + M as a percentage of depreciation:  felling 60 to 81cc - 60%, over 81cc - 50%</t>
  </si>
  <si>
    <t>Sold Through Year?</t>
  </si>
  <si>
    <t xml:space="preserve">Opening </t>
  </si>
  <si>
    <t>Mths owned</t>
  </si>
  <si>
    <t>Depreciatn</t>
  </si>
  <si>
    <t>Closing</t>
  </si>
  <si>
    <t>Opening</t>
  </si>
  <si>
    <t>Sale</t>
  </si>
  <si>
    <t>Profit(+)or</t>
  </si>
  <si>
    <t>Book Value</t>
  </si>
  <si>
    <t>Year</t>
  </si>
  <si>
    <t>in year</t>
  </si>
  <si>
    <t xml:space="preserve"> rate</t>
  </si>
  <si>
    <t>amount</t>
  </si>
  <si>
    <t>book value</t>
  </si>
  <si>
    <t>Book</t>
  </si>
  <si>
    <t>Loss(-)</t>
  </si>
  <si>
    <t>Value</t>
  </si>
  <si>
    <t>On Sale</t>
  </si>
  <si>
    <t>Principle</t>
  </si>
  <si>
    <t>Enter the hire purchase year</t>
  </si>
  <si>
    <t>Amount borrowed</t>
  </si>
  <si>
    <t>Term (mths)</t>
  </si>
  <si>
    <t>rate</t>
  </si>
  <si>
    <t xml:space="preserve"> being budgeted for</t>
  </si>
  <si>
    <t>Months owned in first financial year</t>
  </si>
  <si>
    <t>Principal</t>
  </si>
  <si>
    <t>Total HP</t>
  </si>
  <si>
    <t>MACHINE COSTING 1</t>
  </si>
  <si>
    <t>MACHINE COSTING 2</t>
  </si>
  <si>
    <t>MACHINE COSTING 3</t>
  </si>
  <si>
    <t>MACHINE COSTING 4</t>
  </si>
  <si>
    <t>MACHINE COSTING 5</t>
  </si>
  <si>
    <t>MACHINE COSTING 6</t>
  </si>
  <si>
    <t>Power (kw)</t>
  </si>
  <si>
    <t>Hours to be owned?</t>
  </si>
  <si>
    <t>litres/kW/hr</t>
  </si>
  <si>
    <t>Rigging</t>
  </si>
  <si>
    <t>ROPE AND RIGGING</t>
  </si>
  <si>
    <t>Cost per hour</t>
  </si>
  <si>
    <t>Rope</t>
  </si>
  <si>
    <t>Length (m)</t>
  </si>
  <si>
    <t>Life (hrs)</t>
  </si>
  <si>
    <t>Cost</t>
  </si>
  <si>
    <t xml:space="preserve">Cost </t>
  </si>
  <si>
    <t>( $ / m )</t>
  </si>
  <si>
    <t>($/hr)</t>
  </si>
  <si>
    <t>Mainrope</t>
  </si>
  <si>
    <t>Skyline</t>
  </si>
  <si>
    <t>Tailrope</t>
  </si>
  <si>
    <t>Tagline</t>
  </si>
  <si>
    <t>Guyline</t>
  </si>
  <si>
    <t>Extensions</t>
  </si>
  <si>
    <t xml:space="preserve">Other </t>
  </si>
  <si>
    <t>Strawline</t>
  </si>
  <si>
    <t>Life</t>
  </si>
  <si>
    <t>( hrs )</t>
  </si>
  <si>
    <t>( $ / hr )</t>
  </si>
  <si>
    <t>Butt rigging</t>
  </si>
  <si>
    <t>Mainrope  block</t>
  </si>
  <si>
    <t>Fall block</t>
  </si>
  <si>
    <t>Skyline block</t>
  </si>
  <si>
    <t>Tailrope block</t>
  </si>
  <si>
    <t>Shotgun carriage</t>
  </si>
  <si>
    <t>Slackpulling carriage</t>
  </si>
  <si>
    <t>Shackles</t>
  </si>
  <si>
    <t>Talkie tooter system</t>
  </si>
  <si>
    <t>Strops</t>
  </si>
  <si>
    <t>MACHINE 1</t>
  </si>
  <si>
    <t>MACHINE 2</t>
  </si>
  <si>
    <t>MACHINE 3</t>
  </si>
  <si>
    <t>MACHINE 4</t>
  </si>
  <si>
    <t>MACHINE 5</t>
  </si>
  <si>
    <t>MACHINE 6</t>
  </si>
  <si>
    <t>labour</t>
  </si>
  <si>
    <t>Wkrs comp</t>
  </si>
  <si>
    <t>Allowances</t>
  </si>
  <si>
    <t>Superann</t>
  </si>
  <si>
    <t>fuel+oil</t>
  </si>
  <si>
    <t>fuel</t>
  </si>
  <si>
    <t>so oil</t>
  </si>
  <si>
    <t>R+M</t>
  </si>
  <si>
    <t>op sup</t>
  </si>
  <si>
    <t>Overhds</t>
  </si>
  <si>
    <t>insurance</t>
  </si>
  <si>
    <t>chainsaw</t>
  </si>
  <si>
    <t>rigging</t>
  </si>
  <si>
    <t>5.Interest portion of specific hire purchase installments.</t>
  </si>
  <si>
    <t>tyres</t>
  </si>
  <si>
    <t>% of total interest</t>
  </si>
  <si>
    <t>Actual</t>
  </si>
  <si>
    <t>vehicle tax</t>
  </si>
  <si>
    <t>Payments</t>
  </si>
  <si>
    <t>cost/yr</t>
  </si>
  <si>
    <t>installment number</t>
  </si>
  <si>
    <t>term(mths) to run</t>
  </si>
  <si>
    <t>paid in each installment</t>
  </si>
  <si>
    <t>Total interest</t>
  </si>
  <si>
    <t>year 1</t>
  </si>
  <si>
    <t>principle</t>
  </si>
  <si>
    <t>Deprec.</t>
  </si>
  <si>
    <t>year 2</t>
  </si>
  <si>
    <t>year 3</t>
  </si>
  <si>
    <t>year 4</t>
  </si>
  <si>
    <t>year 5</t>
  </si>
  <si>
    <t>year 6</t>
  </si>
  <si>
    <t>year 7</t>
  </si>
  <si>
    <t>Record1 (a)</t>
  </si>
  <si>
    <t>Record2 (e)</t>
  </si>
  <si>
    <t>Record3 (g)</t>
  </si>
  <si>
    <t>Record4 (h)</t>
  </si>
  <si>
    <t>Record5 (j)</t>
  </si>
  <si>
    <t>Record6 (k)</t>
  </si>
  <si>
    <t>Record7 (l)</t>
  </si>
  <si>
    <t>Record8 (m)</t>
  </si>
  <si>
    <t>Record9 (n)</t>
  </si>
  <si>
    <t>Record10 (o)</t>
  </si>
  <si>
    <t>Record11 (q)</t>
  </si>
  <si>
    <t>Record12 (t)</t>
  </si>
  <si>
    <t>Record13 (w)</t>
  </si>
  <si>
    <t>Record14 (y)</t>
  </si>
  <si>
    <t>Record15 (A)</t>
  </si>
  <si>
    <t>Record16 (B)</t>
  </si>
  <si>
    <t>Record17 (C)</t>
  </si>
  <si>
    <t>Record18 (D)</t>
  </si>
  <si>
    <t>Record19 (E)</t>
  </si>
  <si>
    <t>Record20 (F)</t>
  </si>
  <si>
    <t>Record21 (G)</t>
  </si>
  <si>
    <t>Record22 (H)</t>
  </si>
  <si>
    <t>Record23 (I)</t>
  </si>
  <si>
    <t>Record24 (J)</t>
  </si>
  <si>
    <t>Record25 (K)</t>
  </si>
  <si>
    <t>Record26 (L)</t>
  </si>
  <si>
    <t>Record27 (M)</t>
  </si>
  <si>
    <t>Record28 (N)</t>
  </si>
  <si>
    <t>Record29 (O)</t>
  </si>
  <si>
    <t>Record30 (P)</t>
  </si>
  <si>
    <t>Record32 (M)</t>
  </si>
  <si>
    <t>Record33 (N)</t>
  </si>
  <si>
    <t>Record34 (O)</t>
  </si>
  <si>
    <t>Record35 (P)</t>
  </si>
  <si>
    <t>Record36 (Q)</t>
  </si>
  <si>
    <t>Record26 (R)</t>
  </si>
  <si>
    <t>Record27 (S)</t>
  </si>
  <si>
    <t>Record28 (T)</t>
  </si>
  <si>
    <t>Record29 (U)</t>
  </si>
  <si>
    <t>Record30 (V)</t>
  </si>
  <si>
    <t>Record37 (W)</t>
  </si>
  <si>
    <t>Record38 (X)</t>
  </si>
  <si>
    <t>Record39 (Y)</t>
  </si>
  <si>
    <t>Record40 (Z)</t>
  </si>
  <si>
    <t>Record41</t>
  </si>
  <si>
    <t>Record42</t>
  </si>
  <si>
    <t>Record43</t>
  </si>
  <si>
    <t>Record44</t>
  </si>
  <si>
    <t>Record45</t>
  </si>
  <si>
    <t>Record46</t>
  </si>
  <si>
    <t>Record47</t>
  </si>
  <si>
    <t>Record48</t>
  </si>
  <si>
    <t>Record49</t>
  </si>
  <si>
    <t>Record50</t>
  </si>
  <si>
    <t>Record51</t>
  </si>
  <si>
    <t>Record52</t>
  </si>
  <si>
    <t>Record53</t>
  </si>
  <si>
    <t>Record54</t>
  </si>
  <si>
    <t>Record55</t>
  </si>
  <si>
    <t>Record56</t>
  </si>
  <si>
    <t>Record57</t>
  </si>
  <si>
    <t>Record58</t>
  </si>
  <si>
    <t>Record59</t>
  </si>
  <si>
    <t>Record60</t>
  </si>
  <si>
    <t>Record61</t>
  </si>
  <si>
    <t>Record62</t>
  </si>
  <si>
    <t>Record63</t>
  </si>
  <si>
    <t>Record64</t>
  </si>
  <si>
    <t>Record65</t>
  </si>
  <si>
    <t>Record66</t>
  </si>
  <si>
    <t>Record67</t>
  </si>
  <si>
    <t>Record68</t>
  </si>
  <si>
    <t>Record69</t>
  </si>
  <si>
    <t>Record70</t>
  </si>
  <si>
    <t>Record71</t>
  </si>
  <si>
    <t>Record72</t>
  </si>
  <si>
    <t>Record73</t>
  </si>
  <si>
    <t>Record74</t>
  </si>
  <si>
    <t>Record75</t>
  </si>
  <si>
    <t>Record76</t>
  </si>
  <si>
    <t>Record77</t>
  </si>
  <si>
    <t>Record78</t>
  </si>
  <si>
    <t>Record79</t>
  </si>
  <si>
    <t>Record80</t>
  </si>
  <si>
    <t>Record81</t>
  </si>
  <si>
    <t>Record82</t>
  </si>
  <si>
    <t>Record83</t>
  </si>
  <si>
    <t>Record84</t>
  </si>
  <si>
    <t>Record85</t>
  </si>
  <si>
    <t>Record86</t>
  </si>
  <si>
    <t>Record87</t>
  </si>
  <si>
    <t>Record88</t>
  </si>
  <si>
    <t>Record31 (L)</t>
  </si>
  <si>
    <t>Budget and Cashflow</t>
  </si>
  <si>
    <t>Please follow the written instructions</t>
  </si>
  <si>
    <t>New Zealand Tax regime !!!</t>
  </si>
  <si>
    <t>when you first use this program</t>
  </si>
  <si>
    <t>Do not change shaded cells</t>
  </si>
  <si>
    <t>This table contains a budget section with space for last years results,</t>
  </si>
  <si>
    <t xml:space="preserve">a column which contains totals from the job costing program and </t>
  </si>
  <si>
    <t>space for 2 years budgets.  There is a cash flow sheet for the current year</t>
  </si>
  <si>
    <t>and another for actual results as they occur during the year</t>
  </si>
  <si>
    <t xml:space="preserve">Use the split screen  to place columns along side others for </t>
  </si>
  <si>
    <t>comparison purposes. Split and unsplit commands are under "window"</t>
  </si>
  <si>
    <t>Name.</t>
  </si>
  <si>
    <t>Budgets</t>
  </si>
  <si>
    <t>Budget</t>
  </si>
  <si>
    <t>Predicted Cash flow - current year</t>
  </si>
  <si>
    <t>Name:</t>
  </si>
  <si>
    <t xml:space="preserve">Actual Cash flow - current year   </t>
  </si>
  <si>
    <t>Last years</t>
  </si>
  <si>
    <t>From job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</si>
  <si>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</si>
  <si>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</si>
  <si>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</si>
  <si>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</si>
  <si>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</si>
  <si>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</si>
  <si>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</si>
  <si>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</si>
  <si>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</si>
  <si>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</si>
  <si>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</si>
  <si>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</si>
  <si>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Production</t>
  </si>
  <si>
    <t>actual results</t>
  </si>
  <si>
    <t>costing</t>
  </si>
  <si>
    <t>Average production</t>
  </si>
  <si>
    <t>x Average production</t>
  </si>
  <si>
    <t>Dollars per tonne</t>
  </si>
  <si>
    <t>x Dollars per tonne</t>
  </si>
  <si>
    <t>Revenue</t>
  </si>
  <si>
    <t>c/a Interest</t>
  </si>
  <si>
    <t>Total Income</t>
  </si>
  <si>
    <t>last years</t>
  </si>
  <si>
    <t>From the Job</t>
  </si>
  <si>
    <t>Expenditure</t>
  </si>
  <si>
    <t>Costing</t>
  </si>
  <si>
    <t>Machine fuel and oil</t>
  </si>
  <si>
    <t>To Machine R + M fund</t>
  </si>
  <si>
    <t>Rigging (to R+M fund)</t>
  </si>
  <si>
    <t>Tyres (to R+M fund)</t>
  </si>
  <si>
    <t>Chainsaw costs</t>
  </si>
  <si>
    <t>Machine Insurance</t>
  </si>
  <si>
    <t>Vehicle tax</t>
  </si>
  <si>
    <t>HP payments</t>
  </si>
  <si>
    <t>Last year</t>
  </si>
  <si>
    <t>wages</t>
  </si>
  <si>
    <t>workers comp</t>
  </si>
  <si>
    <t>ACC</t>
  </si>
  <si>
    <t>Allowances (saw etc)</t>
  </si>
  <si>
    <t>Owner ACC - prev. yr</t>
  </si>
  <si>
    <t>Total expenses</t>
  </si>
  <si>
    <t>Net Income</t>
  </si>
  <si>
    <t>Provisional tax paid</t>
  </si>
  <si>
    <t xml:space="preserve">Taxation calculator </t>
  </si>
  <si>
    <t>Note:</t>
  </si>
  <si>
    <t>Net income</t>
  </si>
  <si>
    <t>If 31 March balance</t>
  </si>
  <si>
    <t>+HP principal repaid</t>
  </si>
  <si>
    <t>date then:</t>
  </si>
  <si>
    <t>+ profit on mach. sale</t>
  </si>
  <si>
    <t>1/3 prov due - July 7</t>
  </si>
  <si>
    <t>less depreciation</t>
  </si>
  <si>
    <t>- Nov. 7</t>
  </si>
  <si>
    <t>= taxable income</t>
  </si>
  <si>
    <t>- March. 7</t>
  </si>
  <si>
    <t>at tax rate</t>
  </si>
  <si>
    <t>With Contractors ACC</t>
  </si>
  <si>
    <t>Provisional tax paid this yr</t>
  </si>
  <si>
    <t xml:space="preserve"> on profit, and terminal tax</t>
  </si>
  <si>
    <t>Terminal tax due next yr.</t>
  </si>
  <si>
    <t>due Feb. 7 of the year</t>
  </si>
  <si>
    <t>Provisional tax due next yr</t>
  </si>
  <si>
    <t>following.</t>
  </si>
  <si>
    <t>Wages paid this yr</t>
  </si>
  <si>
    <t xml:space="preserve">ACC on wages is due </t>
  </si>
  <si>
    <t>ACC on wages due next yr</t>
  </si>
  <si>
    <t>on May 31of the year</t>
  </si>
  <si>
    <t>Contractr ACC due next yr</t>
  </si>
  <si>
    <t>ACC rate</t>
  </si>
  <si>
    <t>following</t>
  </si>
  <si>
    <t>Teminal tax</t>
  </si>
  <si>
    <t>Personal Drawings</t>
  </si>
  <si>
    <t>Investments</t>
  </si>
  <si>
    <t>Replacement fund</t>
  </si>
  <si>
    <t>Cash for mach. purchase</t>
  </si>
  <si>
    <t>Cash for new mach.</t>
  </si>
  <si>
    <t>Cash flow sub total</t>
  </si>
  <si>
    <t xml:space="preserve">Starting account </t>
  </si>
  <si>
    <t>balance</t>
  </si>
  <si>
    <t>Balance carried forward</t>
  </si>
  <si>
    <t>Shovels/Rakehoes</t>
  </si>
  <si>
    <t>Safety Management</t>
  </si>
  <si>
    <t>Electronic Data Capture</t>
  </si>
  <si>
    <t>Spare Saw</t>
  </si>
  <si>
    <t>of Fuel</t>
  </si>
  <si>
    <t>Calculated on Labour Template</t>
  </si>
  <si>
    <t>Vehicle Name</t>
  </si>
  <si>
    <t>Equipment</t>
  </si>
  <si>
    <t>Labour</t>
  </si>
  <si>
    <t xml:space="preserve">Vehicle </t>
  </si>
  <si>
    <t xml:space="preserve">Operating </t>
  </si>
  <si>
    <t>Overhead</t>
  </si>
  <si>
    <t>Cost Component</t>
  </si>
  <si>
    <t>Cost per Workday</t>
  </si>
  <si>
    <t>Base Cost per Workday</t>
  </si>
  <si>
    <t>Profit %</t>
  </si>
  <si>
    <t xml:space="preserve">   Replacement Cost</t>
  </si>
  <si>
    <t>Total Consumables</t>
  </si>
  <si>
    <t>Total Capital</t>
  </si>
  <si>
    <t>Life (Yrs)</t>
  </si>
  <si>
    <t xml:space="preserve">   Cost ($/Yr)</t>
  </si>
  <si>
    <t>1. Consumables</t>
  </si>
  <si>
    <t>2. Capital Equipment</t>
  </si>
  <si>
    <t xml:space="preserve">Total Overheads </t>
  </si>
  <si>
    <t>Fuel consumption (l/km)</t>
  </si>
  <si>
    <t>Total Vehicle Rate ($/Workday)</t>
  </si>
  <si>
    <t>km per Workday</t>
  </si>
  <si>
    <t>Fuel cost ($/km)</t>
  </si>
  <si>
    <t>Machine Life (yrs)</t>
  </si>
  <si>
    <t>Machine - Function</t>
  </si>
  <si>
    <t>Tyre/Tracks life (hrs) *</t>
  </si>
  <si>
    <t>New tyre/tracks price</t>
  </si>
  <si>
    <t>Insurance Rate as a Percentage of ACI</t>
  </si>
  <si>
    <t>Machine Life</t>
  </si>
  <si>
    <t>Capital Cost</t>
  </si>
  <si>
    <t>Insurance  ($/Workday)</t>
  </si>
  <si>
    <t>Interest ($/Workday)</t>
  </si>
  <si>
    <t>Fuel Usage</t>
  </si>
  <si>
    <t xml:space="preserve">Fuel Cost </t>
  </si>
  <si>
    <t>($/Workday)</t>
  </si>
  <si>
    <t xml:space="preserve">Fixed costs </t>
  </si>
  <si>
    <t xml:space="preserve">Running costs </t>
  </si>
  <si>
    <t>Oil as a % of Fuel</t>
  </si>
  <si>
    <t>Oil Costs</t>
  </si>
  <si>
    <t>Total Fixed Costs ($/Workday)</t>
  </si>
  <si>
    <t>Total Running Costs ($/Workday)</t>
  </si>
  <si>
    <t xml:space="preserve">Total Machine Rate ($/Workday) </t>
  </si>
  <si>
    <t>OVERHEAD COST TEMPLATE</t>
  </si>
  <si>
    <t>CHAINSAW COST TEMPLATE</t>
  </si>
  <si>
    <t>CREW VEHICLE COST TEMPLATE</t>
  </si>
  <si>
    <t>CREW VEHICLE COSTING 1</t>
  </si>
  <si>
    <t>CREW VEHICLE COSTING 2</t>
  </si>
  <si>
    <t>DAILY COST SUMMARY TEMPLATE</t>
  </si>
  <si>
    <t>MACHINE COST TEMPLATE</t>
  </si>
  <si>
    <t>LABOUR COST ESTIMATE</t>
  </si>
  <si>
    <t>1.  Workdays per year</t>
  </si>
  <si>
    <t>Annual total</t>
  </si>
  <si>
    <t>leaves  work days:</t>
  </si>
  <si>
    <t>TOTAL</t>
  </si>
  <si>
    <t>4.  Average annual cost of worker</t>
  </si>
  <si>
    <t xml:space="preserve">2.  Gross average hourly rate </t>
  </si>
  <si>
    <t>days/yr</t>
  </si>
  <si>
    <t>$ / hr</t>
  </si>
  <si>
    <t>Normal time</t>
  </si>
  <si>
    <t>Overtime</t>
  </si>
  <si>
    <t>total</t>
  </si>
  <si>
    <t>Contractor</t>
  </si>
  <si>
    <t>Stihl MS660</t>
  </si>
  <si>
    <t>Toyota Hilux</t>
  </si>
  <si>
    <t>Toyota Hiace</t>
  </si>
  <si>
    <t>Road User Charges (per 1,000 km)</t>
  </si>
  <si>
    <t>Hauler</t>
  </si>
  <si>
    <t>TSY355</t>
  </si>
  <si>
    <t>Processor</t>
  </si>
  <si>
    <t>Resale value (as a % of cost)</t>
  </si>
  <si>
    <t>Loader</t>
  </si>
  <si>
    <t>CAT 330 &amp; grapple</t>
  </si>
  <si>
    <t>Skidder</t>
  </si>
  <si>
    <t>JD748H</t>
  </si>
  <si>
    <t>Delimber</t>
  </si>
  <si>
    <t>Harvestech</t>
  </si>
  <si>
    <t>Tonnes per day</t>
  </si>
  <si>
    <t>Petrol Price</t>
  </si>
  <si>
    <t>RUC/1,000km</t>
  </si>
  <si>
    <t>From Labour template</t>
  </si>
  <si>
    <t>Nil</t>
  </si>
  <si>
    <t>Diesel Price</t>
  </si>
  <si>
    <t>No. Used</t>
  </si>
  <si>
    <t>Days per year</t>
  </si>
  <si>
    <t>Average rate</t>
  </si>
  <si>
    <t>$/day</t>
  </si>
  <si>
    <t>No. of employees</t>
  </si>
  <si>
    <t>Hours/day</t>
  </si>
  <si>
    <t>Cell Phone</t>
  </si>
  <si>
    <t>Computer &amp; Software</t>
  </si>
  <si>
    <t>Fax &amp; Printer</t>
  </si>
  <si>
    <t>Basic rate $</t>
  </si>
  <si>
    <t>Protective clothing allowance paid to workers:</t>
  </si>
  <si>
    <t>Rate type</t>
  </si>
  <si>
    <t>4.3 Plus ACC levy (as $per $100)</t>
  </si>
  <si>
    <t>No. per year</t>
  </si>
  <si>
    <t xml:space="preserve">Pumps </t>
  </si>
  <si>
    <t>No. Per year</t>
  </si>
  <si>
    <t>Crew Shelter</t>
  </si>
  <si>
    <t xml:space="preserve">Supervision </t>
  </si>
  <si>
    <t>Office Furniture</t>
  </si>
  <si>
    <t xml:space="preserve"> domestic rates, insurance,power, repairs, interest and depreciation.</t>
  </si>
  <si>
    <t>Chain bar oil price ($ per litre)</t>
  </si>
  <si>
    <t>Current price</t>
  </si>
  <si>
    <t>Current used price (after hours to be owned)</t>
  </si>
  <si>
    <t>Haulers</t>
  </si>
  <si>
    <t>Other Ground Base</t>
  </si>
  <si>
    <t>Processors</t>
  </si>
  <si>
    <t>ZX350 &amp; W 626</t>
  </si>
  <si>
    <t>Total Machine Rate Per Hour</t>
  </si>
  <si>
    <t>Tailhold</t>
  </si>
  <si>
    <t>MobileTailhold</t>
  </si>
  <si>
    <t>Depreciation ($/Workday)</t>
  </si>
  <si>
    <t>(eg. 10% floor area x $30,000 = $3,000 office cost)</t>
  </si>
  <si>
    <t>Logging Company Ltd</t>
  </si>
  <si>
    <t>4.2 Plus annual holidays</t>
  </si>
  <si>
    <t>New tyre price (4 tyre set)</t>
  </si>
  <si>
    <t>4. Training - percentage of Labour Cost</t>
  </si>
  <si>
    <t>5. Total Operating Cost Per Workday</t>
  </si>
  <si>
    <t>Hours to be owned</t>
  </si>
  <si>
    <t>Machine life (years)</t>
  </si>
  <si>
    <t>Only change cells in blue</t>
  </si>
  <si>
    <t>Loan Interest Rate</t>
  </si>
  <si>
    <t>Owner's Interest Rate</t>
  </si>
  <si>
    <t>Owner's interest rate</t>
  </si>
  <si>
    <t xml:space="preserve">Owner's interest rate </t>
  </si>
  <si>
    <t>4.4 Kiwi Saver costs</t>
  </si>
  <si>
    <t>%</t>
  </si>
  <si>
    <t>GST exclusive</t>
  </si>
  <si>
    <t xml:space="preserve">Total Daily Cost per Workday </t>
  </si>
  <si>
    <t>Profit per Workday</t>
  </si>
  <si>
    <t>PRODUCTION CALCULATION TEMPLATE</t>
  </si>
  <si>
    <t>1. Inputs</t>
  </si>
  <si>
    <t xml:space="preserve">Unit </t>
  </si>
  <si>
    <t>Data</t>
  </si>
  <si>
    <t>SCHEDULED HOURS</t>
  </si>
  <si>
    <t>Scheduled On Job Time (SMH)</t>
  </si>
  <si>
    <t>hours per day</t>
  </si>
  <si>
    <t>PERSONAL DELAY</t>
  </si>
  <si>
    <t>Scheduled Operator Breaks</t>
  </si>
  <si>
    <t>minutes/day</t>
  </si>
  <si>
    <t>MECHANICAL DELAY</t>
  </si>
  <si>
    <t>Mechanical Downtime</t>
  </si>
  <si>
    <t>UTILISATION</t>
  </si>
  <si>
    <t>Machine Utilisation (=PMH/SMH)</t>
  </si>
  <si>
    <t>PIECE</t>
  </si>
  <si>
    <t>Piece Size</t>
  </si>
  <si>
    <t>tonnes/stem</t>
  </si>
  <si>
    <t>CYCLE</t>
  </si>
  <si>
    <t>Productive Cycle Time</t>
  </si>
  <si>
    <t>minutes/cycle</t>
  </si>
  <si>
    <t>DRAG SIZE</t>
  </si>
  <si>
    <t>Stems per cycle (drag)</t>
  </si>
  <si>
    <t>#</t>
  </si>
  <si>
    <t>2. Calculations</t>
  </si>
  <si>
    <t>PROD HOURS</t>
  </si>
  <si>
    <t>Productive Machine Hours</t>
  </si>
  <si>
    <t>PMH</t>
  </si>
  <si>
    <t>PAYLOAD</t>
  </si>
  <si>
    <t>Payload (Volume per drag)</t>
  </si>
  <si>
    <t>tonnes/drag</t>
  </si>
  <si>
    <t>HOURLY CYCLES</t>
  </si>
  <si>
    <t>Cycles per Productive Hour</t>
  </si>
  <si>
    <t>HOURLY STEMS</t>
  </si>
  <si>
    <t>Stems per Productive Hour</t>
  </si>
  <si>
    <t>stems/PMH</t>
  </si>
  <si>
    <t>HOURLY PROD</t>
  </si>
  <si>
    <t>Production per Hour</t>
  </si>
  <si>
    <t>tonnes/PMH</t>
  </si>
  <si>
    <t>DAILY CYCLES</t>
  </si>
  <si>
    <t>Productive Cycles per day</t>
  </si>
  <si>
    <t>DAILY STEMS</t>
  </si>
  <si>
    <t>Stems per day</t>
  </si>
  <si>
    <t>DAILY PROD</t>
  </si>
  <si>
    <t>Production per day</t>
  </si>
  <si>
    <t>tonnes/day</t>
  </si>
  <si>
    <t>Public Liability Insurance</t>
  </si>
  <si>
    <t>Overhead Cost Per Workday</t>
  </si>
  <si>
    <t>% of Daily Cost</t>
  </si>
  <si>
    <t>Calculated on Production Template</t>
  </si>
  <si>
    <t>Costing for Logging Contract dated 20 August 2009</t>
  </si>
  <si>
    <t>tonnes per day</t>
  </si>
  <si>
    <t>tonnes p.a.</t>
  </si>
  <si>
    <t>Saw</t>
  </si>
  <si>
    <t>Fuel tank capacity (litres)</t>
  </si>
  <si>
    <t>Oil tank capacity (litres)</t>
  </si>
  <si>
    <t xml:space="preserve">         skids   60 to 81cc - 120%, over 81cc - 85%</t>
  </si>
  <si>
    <t>Fuel Use (litres per hour)</t>
  </si>
  <si>
    <t>Chain Oil Use (litres/hr)</t>
  </si>
  <si>
    <t>Depreciation Hourly rate</t>
  </si>
  <si>
    <t>Average Interest rate</t>
  </si>
  <si>
    <t>Life (days)*</t>
  </si>
  <si>
    <t>Life (days)**</t>
  </si>
  <si>
    <t>**Bar life</t>
  </si>
  <si>
    <t>For skid work on ash or sand - 2 to 3 days, other soil types - 4 to 6 days</t>
  </si>
  <si>
    <t>Fuel &amp; Oil % of Total Daily Cost for configuration</t>
  </si>
  <si>
    <t>RATE             $ per tonne</t>
  </si>
  <si>
    <t>Fuel &amp; Oil        $ per Day</t>
  </si>
  <si>
    <t>COST VARIABLES</t>
  </si>
  <si>
    <t>Productive Hours per day</t>
  </si>
  <si>
    <t>Workdays per year</t>
  </si>
  <si>
    <t>Suggested rates for machine fuel consumption:</t>
  </si>
  <si>
    <t>Productive hours per day</t>
  </si>
  <si>
    <t>Insurance cost per hour</t>
  </si>
  <si>
    <t>Interest cost per hour</t>
  </si>
  <si>
    <t>No. Workers</t>
  </si>
  <si>
    <t>(excluding non-taxable allowances)</t>
  </si>
  <si>
    <t>3.  Non-Taxable Allowances</t>
  </si>
  <si>
    <t>No.Workers receiving allowance</t>
  </si>
  <si>
    <t>$ per Year</t>
  </si>
  <si>
    <t>Chainsaw allowance per day ($)</t>
  </si>
  <si>
    <t>Average daily cost per worker</t>
  </si>
  <si>
    <t>Annual cost of all workers (4.1+4.2+4.3+4.4)       =</t>
  </si>
  <si>
    <t xml:space="preserve">       =</t>
  </si>
  <si>
    <t>Annual bonus</t>
  </si>
  <si>
    <t>4.1 Total Gross Earnings</t>
  </si>
  <si>
    <t>Plus non-taxable allowances (Total 3.)</t>
  </si>
  <si>
    <t>Total Annual Labour Cost</t>
  </si>
  <si>
    <t>Depreciation required / km</t>
  </si>
  <si>
    <t>Oil ($/km)</t>
  </si>
  <si>
    <t>Repairs and Maintenance ($/km)</t>
  </si>
  <si>
    <t>Road User Charges ($/km)</t>
  </si>
  <si>
    <t>Tyres ($/km)</t>
  </si>
  <si>
    <t>Total Running Costs ($/km)</t>
  </si>
  <si>
    <t>Fixed costs ($/km)</t>
  </si>
  <si>
    <t>Insurance cost per km</t>
  </si>
  <si>
    <t>Total Fixed Costs ($/km)</t>
  </si>
  <si>
    <t>Running costs ($/km)</t>
  </si>
  <si>
    <t>Weighted interest rate %</t>
  </si>
  <si>
    <t>OPERATING SUPPLIES TEMPLATE</t>
  </si>
  <si>
    <t xml:space="preserve">Fire Protective Clothing </t>
  </si>
  <si>
    <t>Fire Extinguishers</t>
  </si>
  <si>
    <t>First Aid Kits</t>
  </si>
  <si>
    <t>Safety signage and stands</t>
  </si>
  <si>
    <t>Hi Viz Vests</t>
  </si>
  <si>
    <t>Earplugs / Hygiene Kits</t>
  </si>
  <si>
    <t>Gloves</t>
  </si>
  <si>
    <t>Chainsaw safety pants / chaps</t>
  </si>
  <si>
    <t>Measuring tape refills</t>
  </si>
  <si>
    <t>Helmets/Muffs/Visors/Goggles</t>
  </si>
  <si>
    <r>
      <t xml:space="preserve">3. Insurance </t>
    </r>
    <r>
      <rPr>
        <sz val="12"/>
        <rFont val="MS Sans Serif"/>
        <family val="2"/>
      </rPr>
      <t>(% of Replacement Costs)</t>
    </r>
  </si>
  <si>
    <t>Annual Cost</t>
  </si>
  <si>
    <t>Bank and finance charges (Incl overdraft fees)</t>
  </si>
  <si>
    <t>Other Insurances</t>
  </si>
  <si>
    <t>Professional Memberships and Subscriptions</t>
  </si>
  <si>
    <t>if unknown, leave blank</t>
  </si>
  <si>
    <t>Include    (Y or N)</t>
  </si>
  <si>
    <t>Tension Monitor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</si>
</sst>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$&quot;#,##0.0_);[Red]\(&quot;$&quot;#,##0.0\)"/>
    <numFmt numFmtId="176" formatCode="#,##0.0"/>
    <numFmt numFmtId="177" formatCode="0.0%"/>
    <numFmt numFmtId="178" formatCode="#,##0.0;[Red]\-#,##0.0"/>
    <numFmt numFmtId="179" formatCode="_-* #,##0_-;\-* #,##0_-;_-* &quot;-&quot;??_-;_-@_-"/>
    <numFmt numFmtId="180" formatCode="_-&quot;$&quot;* #,##0.000_-;\-&quot;$&quot;* #,##0.000_-;_-&quot;$&quot;* &quot;-&quot;??_-;_-@_-"/>
    <numFmt numFmtId="181" formatCode="_-&quot;$&quot;* #,##0_-;\-&quot;$&quot;* #,##0_-;_-&quot;$&quot;* &quot;-&quot;??_-;_-@_-"/>
    <numFmt numFmtId="182" formatCode="#,##0.00000"/>
    <numFmt numFmtId="183" formatCode="[$-1409]h:mm:ss\ AM/PM"/>
    <numFmt numFmtId="184" formatCode="_-* #,##0.0_-;\-* #,##0.0_-;_-* &quot;-&quot;??_-;_-@_-"/>
    <numFmt numFmtId="185" formatCode="0.000000"/>
    <numFmt numFmtId="186" formatCode="0.00000"/>
    <numFmt numFmtId="187" formatCode="_-* #,##0.0_-;\-* #,##0.0_-;_-* &quot;-&quot;?_-;_-@_-"/>
    <numFmt numFmtId="188" formatCode="_-* #,##0.000_-;\-* #,##0.000_-;_-* &quot;-&quot;??_-;_-@_-"/>
    <numFmt numFmtId="189" formatCode="_-* #,##0.0000_-;\-* #,##0.0000_-;_-* &quot;-&quot;??_-;_-@_-"/>
    <numFmt numFmtId="190" formatCode="&quot;$&quot;#,##0.000_);[Red]\(&quot;$&quot;#,##0.000\)"/>
    <numFmt numFmtId="191" formatCode="0.000%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u val="single"/>
      <sz val="10"/>
      <name val="MS Sans Serif"/>
      <family val="0"/>
    </font>
    <font>
      <b/>
      <u val="single"/>
      <sz val="10"/>
      <name val="MS Sans Serif"/>
      <family val="0"/>
    </font>
    <font>
      <sz val="8"/>
      <name val="MS Sans Serif"/>
      <family val="0"/>
    </font>
    <font>
      <b/>
      <i/>
      <sz val="8"/>
      <name val="MS Sans Serif"/>
      <family val="0"/>
    </font>
    <font>
      <b/>
      <sz val="8"/>
      <name val="MS Sans Serif"/>
      <family val="0"/>
    </font>
    <font>
      <b/>
      <sz val="18"/>
      <name val="MS Sans Serif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sz val="10"/>
      <color indexed="10"/>
      <name val="MS Sans Serif"/>
      <family val="2"/>
    </font>
    <font>
      <sz val="12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ck">
        <color indexed="10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7" fillId="2" borderId="16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Alignment="1">
      <alignment/>
    </xf>
    <xf numFmtId="1" fontId="0" fillId="2" borderId="14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7" fillId="2" borderId="2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21" xfId="0" applyFill="1" applyBorder="1" applyAlignment="1">
      <alignment/>
    </xf>
    <xf numFmtId="0" fontId="0" fillId="2" borderId="22" xfId="0" applyFill="1" applyBorder="1" applyAlignment="1">
      <alignment/>
    </xf>
    <xf numFmtId="2" fontId="0" fillId="4" borderId="11" xfId="0" applyNumberForma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25" xfId="0" applyBorder="1" applyAlignment="1">
      <alignment/>
    </xf>
    <xf numFmtId="0" fontId="7" fillId="2" borderId="26" xfId="0" applyFont="1" applyFill="1" applyBorder="1" applyAlignment="1">
      <alignment/>
    </xf>
    <xf numFmtId="1" fontId="0" fillId="0" borderId="27" xfId="0" applyNumberFormat="1" applyBorder="1" applyAlignment="1">
      <alignment/>
    </xf>
    <xf numFmtId="1" fontId="0" fillId="2" borderId="27" xfId="0" applyNumberFormat="1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7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0" fontId="1" fillId="2" borderId="36" xfId="0" applyFont="1" applyFill="1" applyBorder="1" applyAlignment="1">
      <alignment/>
    </xf>
    <xf numFmtId="0" fontId="0" fillId="2" borderId="37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38" xfId="0" applyBorder="1" applyAlignment="1">
      <alignment/>
    </xf>
    <xf numFmtId="0" fontId="1" fillId="0" borderId="2" xfId="0" applyFont="1" applyBorder="1" applyAlignment="1">
      <alignment/>
    </xf>
    <xf numFmtId="0" fontId="0" fillId="0" borderId="39" xfId="0" applyBorder="1" applyAlignment="1">
      <alignment/>
    </xf>
    <xf numFmtId="0" fontId="0" fillId="2" borderId="40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42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4" borderId="47" xfId="0" applyFill="1" applyBorder="1" applyAlignment="1">
      <alignment/>
    </xf>
    <xf numFmtId="0" fontId="0" fillId="4" borderId="48" xfId="0" applyFill="1" applyBorder="1" applyAlignment="1">
      <alignment/>
    </xf>
    <xf numFmtId="0" fontId="7" fillId="2" borderId="43" xfId="0" applyFont="1" applyFill="1" applyBorder="1" applyAlignment="1">
      <alignment/>
    </xf>
    <xf numFmtId="0" fontId="0" fillId="3" borderId="49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4" borderId="22" xfId="0" applyFill="1" applyBorder="1" applyAlignment="1">
      <alignment/>
    </xf>
    <xf numFmtId="0" fontId="1" fillId="2" borderId="50" xfId="0" applyFont="1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7" fillId="2" borderId="4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4" borderId="19" xfId="0" applyNumberFormat="1" applyFill="1" applyBorder="1" applyAlignment="1">
      <alignment/>
    </xf>
    <xf numFmtId="1" fontId="0" fillId="4" borderId="14" xfId="0" applyNumberFormat="1" applyFill="1" applyBorder="1" applyAlignment="1">
      <alignment/>
    </xf>
    <xf numFmtId="0" fontId="7" fillId="0" borderId="9" xfId="0" applyFont="1" applyBorder="1" applyAlignment="1">
      <alignment/>
    </xf>
    <xf numFmtId="1" fontId="0" fillId="0" borderId="22" xfId="0" applyNumberFormat="1" applyBorder="1" applyAlignment="1">
      <alignment/>
    </xf>
    <xf numFmtId="0" fontId="0" fillId="2" borderId="57" xfId="0" applyFill="1" applyBorder="1" applyAlignment="1">
      <alignment/>
    </xf>
    <xf numFmtId="0" fontId="7" fillId="2" borderId="58" xfId="0" applyFont="1" applyFill="1" applyBorder="1" applyAlignment="1">
      <alignment/>
    </xf>
    <xf numFmtId="0" fontId="0" fillId="2" borderId="59" xfId="0" applyFill="1" applyBorder="1" applyAlignment="1">
      <alignment/>
    </xf>
    <xf numFmtId="0" fontId="7" fillId="2" borderId="12" xfId="0" applyFont="1" applyFill="1" applyBorder="1" applyAlignment="1">
      <alignment/>
    </xf>
    <xf numFmtId="1" fontId="0" fillId="4" borderId="42" xfId="0" applyNumberFormat="1" applyFill="1" applyBorder="1" applyAlignment="1">
      <alignment/>
    </xf>
    <xf numFmtId="1" fontId="0" fillId="4" borderId="13" xfId="0" applyNumberFormat="1" applyFill="1" applyBorder="1" applyAlignment="1">
      <alignment/>
    </xf>
    <xf numFmtId="1" fontId="0" fillId="4" borderId="18" xfId="0" applyNumberForma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20" xfId="0" applyFill="1" applyBorder="1" applyAlignment="1">
      <alignment/>
    </xf>
    <xf numFmtId="1" fontId="7" fillId="2" borderId="49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60" xfId="0" applyNumberFormat="1" applyFill="1" applyBorder="1" applyAlignment="1">
      <alignment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" fontId="0" fillId="2" borderId="52" xfId="0" applyNumberFormat="1" applyFill="1" applyBorder="1" applyAlignment="1">
      <alignment/>
    </xf>
    <xf numFmtId="1" fontId="0" fillId="2" borderId="53" xfId="0" applyNumberFormat="1" applyFill="1" applyBorder="1" applyAlignment="1">
      <alignment/>
    </xf>
    <xf numFmtId="1" fontId="0" fillId="2" borderId="51" xfId="0" applyNumberFormat="1" applyFill="1" applyBorder="1" applyAlignment="1">
      <alignment/>
    </xf>
    <xf numFmtId="1" fontId="0" fillId="2" borderId="54" xfId="0" applyNumberFormat="1" applyFill="1" applyBorder="1" applyAlignment="1">
      <alignment/>
    </xf>
    <xf numFmtId="0" fontId="0" fillId="2" borderId="50" xfId="0" applyFill="1" applyBorder="1" applyAlignment="1">
      <alignment/>
    </xf>
    <xf numFmtId="1" fontId="0" fillId="2" borderId="62" xfId="0" applyNumberFormat="1" applyFill="1" applyBorder="1" applyAlignment="1">
      <alignment/>
    </xf>
    <xf numFmtId="0" fontId="0" fillId="3" borderId="12" xfId="0" applyFill="1" applyBorder="1" applyAlignment="1">
      <alignment/>
    </xf>
    <xf numFmtId="1" fontId="0" fillId="3" borderId="13" xfId="0" applyNumberFormat="1" applyFill="1" applyBorder="1" applyAlignment="1">
      <alignment/>
    </xf>
    <xf numFmtId="1" fontId="0" fillId="3" borderId="63" xfId="0" applyNumberFormat="1" applyFill="1" applyBorder="1" applyAlignment="1">
      <alignment/>
    </xf>
    <xf numFmtId="0" fontId="0" fillId="3" borderId="27" xfId="0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0" fontId="9" fillId="2" borderId="1" xfId="0" applyFon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3" borderId="6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7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0" fontId="0" fillId="2" borderId="7" xfId="0" applyFill="1" applyBorder="1" applyAlignment="1" quotePrefix="1">
      <alignment/>
    </xf>
    <xf numFmtId="0" fontId="7" fillId="2" borderId="0" xfId="0" applyFont="1" applyFill="1" applyBorder="1" applyAlignment="1" quotePrefix="1">
      <alignment horizontal="left"/>
    </xf>
    <xf numFmtId="1" fontId="0" fillId="2" borderId="8" xfId="0" applyNumberFormat="1" applyFill="1" applyBorder="1" applyAlignment="1">
      <alignment/>
    </xf>
    <xf numFmtId="1" fontId="0" fillId="3" borderId="23" xfId="0" applyNumberFormat="1" applyFill="1" applyBorder="1" applyAlignment="1">
      <alignment/>
    </xf>
    <xf numFmtId="0" fontId="7" fillId="2" borderId="7" xfId="0" applyFont="1" applyFill="1" applyBorder="1" applyAlignment="1" quotePrefix="1">
      <alignment/>
    </xf>
    <xf numFmtId="16" fontId="7" fillId="2" borderId="0" xfId="0" applyNumberFormat="1" applyFont="1" applyFill="1" applyBorder="1" applyAlignment="1" quotePrefix="1">
      <alignment horizontal="left"/>
    </xf>
    <xf numFmtId="0" fontId="0" fillId="3" borderId="17" xfId="0" applyFill="1" applyBorder="1" applyAlignment="1">
      <alignment/>
    </xf>
    <xf numFmtId="1" fontId="7" fillId="2" borderId="64" xfId="0" applyNumberFormat="1" applyFont="1" applyFill="1" applyBorder="1" applyAlignment="1">
      <alignment/>
    </xf>
    <xf numFmtId="0" fontId="0" fillId="3" borderId="23" xfId="0" applyFill="1" applyBorder="1" applyAlignment="1">
      <alignment/>
    </xf>
    <xf numFmtId="1" fontId="0" fillId="3" borderId="0" xfId="0" applyNumberFormat="1" applyFill="1" applyAlignment="1">
      <alignment/>
    </xf>
    <xf numFmtId="1" fontId="7" fillId="3" borderId="23" xfId="0" applyNumberFormat="1" applyFont="1" applyFill="1" applyBorder="1" applyAlignment="1">
      <alignment/>
    </xf>
    <xf numFmtId="16" fontId="7" fillId="2" borderId="7" xfId="0" applyNumberFormat="1" applyFon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57" xfId="0" applyNumberFormat="1" applyFill="1" applyBorder="1" applyAlignment="1">
      <alignment/>
    </xf>
    <xf numFmtId="1" fontId="0" fillId="3" borderId="18" xfId="0" applyNumberFormat="1" applyFill="1" applyBorder="1" applyAlignment="1">
      <alignment/>
    </xf>
    <xf numFmtId="0" fontId="0" fillId="2" borderId="65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2" borderId="67" xfId="0" applyFill="1" applyBorder="1" applyAlignment="1">
      <alignment/>
    </xf>
    <xf numFmtId="1" fontId="0" fillId="0" borderId="51" xfId="0" applyNumberFormat="1" applyBorder="1" applyAlignment="1">
      <alignment/>
    </xf>
    <xf numFmtId="1" fontId="0" fillId="0" borderId="68" xfId="0" applyNumberFormat="1" applyBorder="1" applyAlignment="1">
      <alignment/>
    </xf>
    <xf numFmtId="1" fontId="0" fillId="0" borderId="54" xfId="0" applyNumberFormat="1" applyBorder="1" applyAlignment="1">
      <alignment/>
    </xf>
    <xf numFmtId="0" fontId="0" fillId="3" borderId="41" xfId="0" applyFill="1" applyBorder="1" applyAlignment="1">
      <alignment/>
    </xf>
    <xf numFmtId="0" fontId="0" fillId="3" borderId="59" xfId="0" applyFill="1" applyBorder="1" applyAlignment="1">
      <alignment/>
    </xf>
    <xf numFmtId="0" fontId="0" fillId="3" borderId="69" xfId="0" applyFill="1" applyBorder="1" applyAlignment="1">
      <alignment/>
    </xf>
    <xf numFmtId="0" fontId="0" fillId="2" borderId="50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1" fontId="0" fillId="2" borderId="68" xfId="0" applyNumberFormat="1" applyFill="1" applyBorder="1" applyAlignment="1">
      <alignment/>
    </xf>
    <xf numFmtId="0" fontId="7" fillId="2" borderId="5" xfId="0" applyFon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0" fillId="0" borderId="0" xfId="0" applyFont="1" applyAlignment="1">
      <alignment/>
    </xf>
    <xf numFmtId="172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21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" fillId="0" borderId="75" xfId="0" applyFont="1" applyFill="1" applyBorder="1" applyAlignment="1" applyProtection="1">
      <alignment/>
      <protection/>
    </xf>
    <xf numFmtId="0" fontId="0" fillId="0" borderId="76" xfId="0" applyFill="1" applyBorder="1" applyAlignment="1" applyProtection="1">
      <alignment/>
      <protection/>
    </xf>
    <xf numFmtId="0" fontId="0" fillId="0" borderId="7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0" fillId="0" borderId="79" xfId="0" applyFill="1" applyBorder="1" applyAlignment="1" applyProtection="1">
      <alignment/>
      <protection/>
    </xf>
    <xf numFmtId="2" fontId="0" fillId="0" borderId="8" xfId="0" applyNumberFormat="1" applyFill="1" applyBorder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2" fontId="0" fillId="0" borderId="6" xfId="0" applyNumberFormat="1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166" fontId="0" fillId="0" borderId="56" xfId="0" applyNumberFormat="1" applyFill="1" applyBorder="1" applyAlignment="1" applyProtection="1">
      <alignment/>
      <protection/>
    </xf>
    <xf numFmtId="0" fontId="0" fillId="0" borderId="78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/>
      <protection/>
    </xf>
    <xf numFmtId="166" fontId="0" fillId="0" borderId="8" xfId="0" applyNumberForma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82" xfId="0" applyFill="1" applyBorder="1" applyAlignment="1" applyProtection="1">
      <alignment/>
      <protection/>
    </xf>
    <xf numFmtId="166" fontId="0" fillId="0" borderId="83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84" xfId="0" applyFill="1" applyBorder="1" applyAlignment="1" applyProtection="1">
      <alignment/>
      <protection/>
    </xf>
    <xf numFmtId="2" fontId="0" fillId="0" borderId="84" xfId="0" applyNumberForma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85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/>
      <protection/>
    </xf>
    <xf numFmtId="1" fontId="7" fillId="0" borderId="80" xfId="0" applyNumberFormat="1" applyFont="1" applyFill="1" applyBorder="1" applyAlignment="1" applyProtection="1">
      <alignment/>
      <protection/>
    </xf>
    <xf numFmtId="1" fontId="7" fillId="0" borderId="80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1" fontId="7" fillId="0" borderId="27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1" fontId="0" fillId="0" borderId="27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" fontId="0" fillId="0" borderId="86" xfId="0" applyNumberFormat="1" applyFill="1" applyBorder="1" applyAlignment="1" applyProtection="1">
      <alignment/>
      <protection/>
    </xf>
    <xf numFmtId="1" fontId="0" fillId="0" borderId="87" xfId="0" applyNumberForma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85" xfId="0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85" xfId="0" applyNumberFormat="1" applyFont="1" applyFill="1" applyBorder="1" applyAlignment="1" applyProtection="1">
      <alignment horizontal="center"/>
      <protection/>
    </xf>
    <xf numFmtId="2" fontId="0" fillId="0" borderId="60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88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2" fontId="0" fillId="0" borderId="89" xfId="0" applyNumberFormat="1" applyFill="1" applyBorder="1" applyAlignment="1" applyProtection="1">
      <alignment/>
      <protection/>
    </xf>
    <xf numFmtId="1" fontId="0" fillId="0" borderId="89" xfId="0" applyNumberForma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center"/>
      <protection/>
    </xf>
    <xf numFmtId="1" fontId="7" fillId="0" borderId="9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2" fontId="0" fillId="0" borderId="91" xfId="0" applyNumberFormat="1" applyFill="1" applyBorder="1" applyAlignment="1" applyProtection="1">
      <alignment/>
      <protection/>
    </xf>
    <xf numFmtId="164" fontId="0" fillId="0" borderId="92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0" fillId="0" borderId="90" xfId="0" applyNumberForma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/>
    </xf>
    <xf numFmtId="0" fontId="0" fillId="0" borderId="91" xfId="0" applyFill="1" applyBorder="1" applyAlignment="1" applyProtection="1">
      <alignment/>
      <protection/>
    </xf>
    <xf numFmtId="0" fontId="0" fillId="0" borderId="92" xfId="0" applyFill="1" applyBorder="1" applyAlignment="1" applyProtection="1">
      <alignment/>
      <protection/>
    </xf>
    <xf numFmtId="2" fontId="0" fillId="0" borderId="9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3" borderId="2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2" xfId="0" applyFill="1" applyBorder="1" applyAlignment="1">
      <alignment/>
    </xf>
    <xf numFmtId="0" fontId="1" fillId="3" borderId="52" xfId="0" applyFont="1" applyFill="1" applyBorder="1" applyAlignment="1">
      <alignment/>
    </xf>
    <xf numFmtId="0" fontId="0" fillId="3" borderId="51" xfId="0" applyFill="1" applyBorder="1" applyAlignment="1">
      <alignment/>
    </xf>
    <xf numFmtId="165" fontId="1" fillId="3" borderId="93" xfId="17" applyNumberFormat="1" applyFont="1" applyFill="1" applyBorder="1" applyAlignment="1">
      <alignment/>
    </xf>
    <xf numFmtId="0" fontId="1" fillId="3" borderId="21" xfId="0" applyFont="1" applyFill="1" applyBorder="1" applyAlignment="1">
      <alignment/>
    </xf>
    <xf numFmtId="165" fontId="1" fillId="3" borderId="72" xfId="17" applyNumberFormat="1" applyFont="1" applyFill="1" applyBorder="1" applyAlignment="1">
      <alignment/>
    </xf>
    <xf numFmtId="0" fontId="0" fillId="3" borderId="2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" borderId="52" xfId="0" applyFill="1" applyBorder="1" applyAlignment="1">
      <alignment/>
    </xf>
    <xf numFmtId="0" fontId="0" fillId="3" borderId="93" xfId="0" applyFill="1" applyBorder="1" applyAlignment="1">
      <alignment horizontal="right"/>
    </xf>
    <xf numFmtId="2" fontId="1" fillId="3" borderId="93" xfId="0" applyNumberFormat="1" applyFont="1" applyFill="1" applyBorder="1" applyAlignment="1">
      <alignment horizontal="right"/>
    </xf>
    <xf numFmtId="167" fontId="1" fillId="3" borderId="93" xfId="17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51" xfId="0" applyFill="1" applyBorder="1" applyAlignment="1">
      <alignment horizontal="right"/>
    </xf>
    <xf numFmtId="2" fontId="1" fillId="3" borderId="51" xfId="0" applyNumberFormat="1" applyFont="1" applyFill="1" applyBorder="1" applyAlignment="1">
      <alignment horizontal="right"/>
    </xf>
    <xf numFmtId="167" fontId="1" fillId="3" borderId="51" xfId="17" applyFont="1" applyFill="1" applyBorder="1" applyAlignment="1">
      <alignment horizontal="right"/>
    </xf>
    <xf numFmtId="0" fontId="1" fillId="3" borderId="51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3" borderId="94" xfId="0" applyFill="1" applyBorder="1" applyAlignment="1">
      <alignment horizontal="right"/>
    </xf>
    <xf numFmtId="2" fontId="1" fillId="3" borderId="94" xfId="0" applyNumberFormat="1" applyFont="1" applyFill="1" applyBorder="1" applyAlignment="1">
      <alignment horizontal="right"/>
    </xf>
    <xf numFmtId="167" fontId="1" fillId="3" borderId="94" xfId="17" applyFont="1" applyFill="1" applyBorder="1" applyAlignment="1">
      <alignment horizontal="right"/>
    </xf>
    <xf numFmtId="0" fontId="1" fillId="3" borderId="94" xfId="0" applyFont="1" applyFill="1" applyBorder="1" applyAlignment="1">
      <alignment horizontal="right"/>
    </xf>
    <xf numFmtId="165" fontId="0" fillId="3" borderId="94" xfId="17" applyNumberFormat="1" applyFill="1" applyBorder="1" applyAlignment="1">
      <alignment horizontal="right"/>
    </xf>
    <xf numFmtId="0" fontId="0" fillId="3" borderId="94" xfId="0" applyFill="1" applyBorder="1" applyAlignment="1" quotePrefix="1">
      <alignment horizontal="right"/>
    </xf>
    <xf numFmtId="165" fontId="0" fillId="3" borderId="94" xfId="17" applyNumberFormat="1" applyFill="1" applyBorder="1" applyAlignment="1" quotePrefix="1">
      <alignment horizontal="right"/>
    </xf>
    <xf numFmtId="1" fontId="0" fillId="3" borderId="94" xfId="0" applyNumberFormat="1" applyFill="1" applyBorder="1" applyAlignment="1">
      <alignment horizontal="right"/>
    </xf>
    <xf numFmtId="10" fontId="0" fillId="3" borderId="94" xfId="22" applyNumberFormat="1" applyFill="1" applyBorder="1" applyAlignment="1">
      <alignment horizontal="right"/>
    </xf>
    <xf numFmtId="9" fontId="0" fillId="3" borderId="94" xfId="22" applyFill="1" applyBorder="1" applyAlignment="1">
      <alignment horizontal="right"/>
    </xf>
    <xf numFmtId="2" fontId="0" fillId="3" borderId="94" xfId="0" applyNumberFormat="1" applyFill="1" applyBorder="1" applyAlignment="1">
      <alignment horizontal="right"/>
    </xf>
    <xf numFmtId="167" fontId="0" fillId="3" borderId="94" xfId="17" applyNumberFormat="1" applyFill="1" applyBorder="1" applyAlignment="1">
      <alignment horizontal="right"/>
    </xf>
    <xf numFmtId="167" fontId="0" fillId="3" borderId="94" xfId="17" applyFill="1" applyBorder="1" applyAlignment="1">
      <alignment horizontal="right"/>
    </xf>
    <xf numFmtId="0" fontId="6" fillId="3" borderId="94" xfId="0" applyFont="1" applyFill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70" xfId="0" applyFill="1" applyBorder="1" applyAlignment="1">
      <alignment/>
    </xf>
    <xf numFmtId="0" fontId="4" fillId="3" borderId="21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72" xfId="0" applyFill="1" applyBorder="1" applyAlignment="1" applyProtection="1">
      <alignment/>
      <protection/>
    </xf>
    <xf numFmtId="0" fontId="1" fillId="0" borderId="0" xfId="0" applyFont="1" applyAlignment="1">
      <alignment/>
    </xf>
    <xf numFmtId="167" fontId="0" fillId="3" borderId="93" xfId="17" applyFill="1" applyBorder="1" applyAlignment="1">
      <alignment/>
    </xf>
    <xf numFmtId="0" fontId="0" fillId="3" borderId="51" xfId="0" applyFont="1" applyFill="1" applyBorder="1" applyAlignment="1">
      <alignment/>
    </xf>
    <xf numFmtId="2" fontId="0" fillId="3" borderId="93" xfId="0" applyNumberFormat="1" applyFill="1" applyBorder="1" applyAlignment="1">
      <alignment/>
    </xf>
    <xf numFmtId="166" fontId="0" fillId="3" borderId="71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0" fillId="3" borderId="8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6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5" fontId="1" fillId="0" borderId="0" xfId="17" applyNumberFormat="1" applyFont="1" applyFill="1" applyBorder="1" applyAlignment="1" applyProtection="1">
      <alignment/>
      <protection/>
    </xf>
    <xf numFmtId="9" fontId="0" fillId="0" borderId="0" xfId="22" applyFill="1" applyBorder="1" applyAlignment="1" applyProtection="1">
      <alignment/>
      <protection/>
    </xf>
    <xf numFmtId="0" fontId="0" fillId="0" borderId="70" xfId="0" applyFill="1" applyBorder="1" applyAlignment="1">
      <alignment/>
    </xf>
    <xf numFmtId="0" fontId="0" fillId="0" borderId="7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" borderId="72" xfId="0" applyFill="1" applyBorder="1" applyAlignment="1">
      <alignment/>
    </xf>
    <xf numFmtId="0" fontId="16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179" fontId="0" fillId="0" borderId="0" xfId="0" applyNumberFormat="1" applyBorder="1" applyAlignment="1">
      <alignment/>
    </xf>
    <xf numFmtId="179" fontId="0" fillId="0" borderId="17" xfId="0" applyNumberFormat="1" applyBorder="1" applyAlignment="1">
      <alignment/>
    </xf>
    <xf numFmtId="0" fontId="16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8" xfId="0" applyFon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16" fillId="0" borderId="95" xfId="0" applyFont="1" applyBorder="1" applyAlignment="1">
      <alignment/>
    </xf>
    <xf numFmtId="0" fontId="1" fillId="3" borderId="7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167" fontId="16" fillId="0" borderId="0" xfId="17" applyBorder="1" applyAlignment="1" applyProtection="1">
      <alignment/>
      <protection/>
    </xf>
    <xf numFmtId="181" fontId="16" fillId="0" borderId="0" xfId="17" applyNumberFormat="1" applyBorder="1" applyAlignment="1" applyProtection="1">
      <alignment/>
      <protection/>
    </xf>
    <xf numFmtId="179" fontId="15" fillId="0" borderId="23" xfId="0" applyNumberFormat="1" applyFont="1" applyBorder="1" applyAlignment="1" applyProtection="1">
      <alignment/>
      <protection/>
    </xf>
    <xf numFmtId="179" fontId="0" fillId="0" borderId="17" xfId="0" applyNumberFormat="1" applyBorder="1" applyAlignment="1" applyProtection="1">
      <alignment/>
      <protection/>
    </xf>
    <xf numFmtId="179" fontId="0" fillId="0" borderId="23" xfId="0" applyNumberFormat="1" applyBorder="1" applyAlignment="1" applyProtection="1">
      <alignment/>
      <protection/>
    </xf>
    <xf numFmtId="0" fontId="0" fillId="3" borderId="71" xfId="0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5" borderId="96" xfId="0" applyFont="1" applyFill="1" applyBorder="1" applyAlignment="1" applyProtection="1">
      <alignment horizontal="center"/>
      <protection locked="0"/>
    </xf>
    <xf numFmtId="0" fontId="0" fillId="5" borderId="97" xfId="0" applyFill="1" applyBorder="1" applyAlignment="1" applyProtection="1">
      <alignment horizontal="center"/>
      <protection locked="0"/>
    </xf>
    <xf numFmtId="0" fontId="0" fillId="5" borderId="98" xfId="0" applyFill="1" applyBorder="1" applyAlignment="1" applyProtection="1">
      <alignment horizontal="center"/>
      <protection locked="0"/>
    </xf>
    <xf numFmtId="0" fontId="0" fillId="5" borderId="99" xfId="0" applyFill="1" applyBorder="1" applyAlignment="1" applyProtection="1">
      <alignment horizontal="center"/>
      <protection locked="0"/>
    </xf>
    <xf numFmtId="0" fontId="0" fillId="5" borderId="100" xfId="0" applyFill="1" applyBorder="1" applyAlignment="1" applyProtection="1">
      <alignment horizontal="center"/>
      <protection locked="0"/>
    </xf>
    <xf numFmtId="0" fontId="0" fillId="5" borderId="96" xfId="0" applyFill="1" applyBorder="1" applyAlignment="1" applyProtection="1">
      <alignment horizontal="center"/>
      <protection locked="0"/>
    </xf>
    <xf numFmtId="0" fontId="0" fillId="5" borderId="101" xfId="0" applyFill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/>
      <protection/>
    </xf>
    <xf numFmtId="0" fontId="1" fillId="6" borderId="52" xfId="0" applyFont="1" applyFill="1" applyBorder="1" applyAlignment="1" applyProtection="1">
      <alignment/>
      <protection/>
    </xf>
    <xf numFmtId="0" fontId="1" fillId="6" borderId="51" xfId="0" applyFont="1" applyFill="1" applyBorder="1" applyAlignment="1" applyProtection="1">
      <alignment/>
      <protection/>
    </xf>
    <xf numFmtId="0" fontId="1" fillId="6" borderId="93" xfId="0" applyFont="1" applyFill="1" applyBorder="1" applyAlignment="1" applyProtection="1">
      <alignment/>
      <protection/>
    </xf>
    <xf numFmtId="0" fontId="1" fillId="5" borderId="21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52" xfId="0" applyFont="1" applyFill="1" applyBorder="1" applyAlignment="1" applyProtection="1">
      <alignment/>
      <protection/>
    </xf>
    <xf numFmtId="0" fontId="14" fillId="5" borderId="51" xfId="0" applyFont="1" applyFill="1" applyBorder="1" applyAlignment="1" applyProtection="1">
      <alignment horizontal="center"/>
      <protection/>
    </xf>
    <xf numFmtId="0" fontId="14" fillId="5" borderId="51" xfId="0" applyFont="1" applyFill="1" applyBorder="1" applyAlignment="1" applyProtection="1">
      <alignment/>
      <protection/>
    </xf>
    <xf numFmtId="0" fontId="1" fillId="5" borderId="51" xfId="0" applyFont="1" applyFill="1" applyBorder="1" applyAlignment="1" applyProtection="1">
      <alignment/>
      <protection/>
    </xf>
    <xf numFmtId="0" fontId="1" fillId="5" borderId="51" xfId="0" applyFont="1" applyFill="1" applyBorder="1" applyAlignment="1" applyProtection="1">
      <alignment/>
      <protection/>
    </xf>
    <xf numFmtId="0" fontId="1" fillId="5" borderId="93" xfId="0" applyFont="1" applyFill="1" applyBorder="1" applyAlignment="1" applyProtection="1">
      <alignment/>
      <protection/>
    </xf>
    <xf numFmtId="0" fontId="0" fillId="5" borderId="67" xfId="0" applyFill="1" applyBorder="1" applyAlignment="1" applyProtection="1">
      <alignment horizontal="center"/>
      <protection locked="0"/>
    </xf>
    <xf numFmtId="9" fontId="0" fillId="5" borderId="97" xfId="22" applyFill="1" applyBorder="1" applyAlignment="1" applyProtection="1">
      <alignment/>
      <protection locked="0"/>
    </xf>
    <xf numFmtId="0" fontId="4" fillId="6" borderId="52" xfId="0" applyFont="1" applyFill="1" applyBorder="1" applyAlignment="1" applyProtection="1">
      <alignment/>
      <protection/>
    </xf>
    <xf numFmtId="0" fontId="0" fillId="6" borderId="51" xfId="0" applyFill="1" applyBorder="1" applyAlignment="1" applyProtection="1">
      <alignment horizontal="center"/>
      <protection/>
    </xf>
    <xf numFmtId="0" fontId="0" fillId="6" borderId="51" xfId="0" applyFill="1" applyBorder="1" applyAlignment="1" applyProtection="1">
      <alignment/>
      <protection/>
    </xf>
    <xf numFmtId="0" fontId="0" fillId="6" borderId="93" xfId="0" applyFill="1" applyBorder="1" applyAlignment="1" applyProtection="1">
      <alignment/>
      <protection/>
    </xf>
    <xf numFmtId="0" fontId="4" fillId="6" borderId="67" xfId="0" applyFont="1" applyFill="1" applyBorder="1" applyAlignment="1" applyProtection="1">
      <alignment vertical="top" wrapText="1"/>
      <protection/>
    </xf>
    <xf numFmtId="0" fontId="0" fillId="6" borderId="72" xfId="0" applyFill="1" applyBorder="1" applyAlignment="1" applyProtection="1">
      <alignment horizontal="center"/>
      <protection/>
    </xf>
    <xf numFmtId="0" fontId="0" fillId="6" borderId="102" xfId="0" applyFill="1" applyBorder="1" applyAlignment="1" applyProtection="1">
      <alignment/>
      <protection/>
    </xf>
    <xf numFmtId="0" fontId="0" fillId="6" borderId="61" xfId="0" applyFill="1" applyBorder="1" applyAlignment="1" applyProtection="1">
      <alignment/>
      <protection/>
    </xf>
    <xf numFmtId="0" fontId="0" fillId="6" borderId="103" xfId="0" applyFill="1" applyBorder="1" applyAlignment="1" applyProtection="1">
      <alignment/>
      <protection/>
    </xf>
    <xf numFmtId="0" fontId="0" fillId="6" borderId="93" xfId="0" applyFill="1" applyBorder="1" applyAlignment="1" applyProtection="1">
      <alignment horizontal="center"/>
      <protection/>
    </xf>
    <xf numFmtId="0" fontId="1" fillId="6" borderId="72" xfId="0" applyFont="1" applyFill="1" applyBorder="1" applyAlignment="1" applyProtection="1">
      <alignment horizontal="center"/>
      <protection/>
    </xf>
    <xf numFmtId="0" fontId="1" fillId="6" borderId="16" xfId="0" applyFont="1" applyFill="1" applyBorder="1" applyAlignment="1" applyProtection="1">
      <alignment/>
      <protection/>
    </xf>
    <xf numFmtId="0" fontId="1" fillId="6" borderId="28" xfId="0" applyFont="1" applyFill="1" applyBorder="1" applyAlignment="1" applyProtection="1">
      <alignment/>
      <protection/>
    </xf>
    <xf numFmtId="0" fontId="1" fillId="6" borderId="74" xfId="0" applyFont="1" applyFill="1" applyBorder="1" applyAlignment="1" applyProtection="1">
      <alignment horizontal="center"/>
      <protection/>
    </xf>
    <xf numFmtId="0" fontId="1" fillId="6" borderId="103" xfId="0" applyFont="1" applyFill="1" applyBorder="1" applyAlignment="1" applyProtection="1">
      <alignment/>
      <protection/>
    </xf>
    <xf numFmtId="0" fontId="1" fillId="6" borderId="102" xfId="0" applyFont="1" applyFill="1" applyBorder="1" applyAlignment="1" applyProtection="1">
      <alignment horizontal="left"/>
      <protection/>
    </xf>
    <xf numFmtId="0" fontId="1" fillId="6" borderId="61" xfId="0" applyFont="1" applyFill="1" applyBorder="1" applyAlignment="1" applyProtection="1">
      <alignment horizontal="left"/>
      <protection/>
    </xf>
    <xf numFmtId="0" fontId="1" fillId="6" borderId="26" xfId="0" applyFont="1" applyFill="1" applyBorder="1" applyAlignment="1" applyProtection="1">
      <alignment/>
      <protection/>
    </xf>
    <xf numFmtId="0" fontId="0" fillId="6" borderId="70" xfId="0" applyFill="1" applyBorder="1" applyAlignment="1" applyProtection="1">
      <alignment horizontal="center"/>
      <protection/>
    </xf>
    <xf numFmtId="0" fontId="0" fillId="6" borderId="70" xfId="0" applyFill="1" applyBorder="1" applyAlignment="1" applyProtection="1">
      <alignment/>
      <protection/>
    </xf>
    <xf numFmtId="0" fontId="1" fillId="6" borderId="61" xfId="0" applyFont="1" applyFill="1" applyBorder="1" applyAlignment="1" applyProtection="1">
      <alignment/>
      <protection/>
    </xf>
    <xf numFmtId="0" fontId="0" fillId="6" borderId="10" xfId="0" applyFill="1" applyBorder="1" applyAlignment="1" applyProtection="1">
      <alignment horizontal="center"/>
      <protection/>
    </xf>
    <xf numFmtId="0" fontId="0" fillId="6" borderId="10" xfId="0" applyFill="1" applyBorder="1" applyAlignment="1" applyProtection="1">
      <alignment/>
      <protection/>
    </xf>
    <xf numFmtId="0" fontId="1" fillId="6" borderId="28" xfId="0" applyFont="1" applyFill="1" applyBorder="1" applyAlignment="1" applyProtection="1">
      <alignment/>
      <protection/>
    </xf>
    <xf numFmtId="0" fontId="0" fillId="6" borderId="73" xfId="0" applyFill="1" applyBorder="1" applyAlignment="1" applyProtection="1">
      <alignment horizontal="center"/>
      <protection/>
    </xf>
    <xf numFmtId="0" fontId="0" fillId="6" borderId="73" xfId="0" applyFill="1" applyBorder="1" applyAlignment="1" applyProtection="1">
      <alignment/>
      <protection/>
    </xf>
    <xf numFmtId="9" fontId="0" fillId="6" borderId="104" xfId="22" applyFill="1" applyBorder="1" applyAlignment="1" applyProtection="1">
      <alignment/>
      <protection/>
    </xf>
    <xf numFmtId="9" fontId="0" fillId="6" borderId="105" xfId="22" applyFill="1" applyBorder="1" applyAlignment="1" applyProtection="1">
      <alignment/>
      <protection/>
    </xf>
    <xf numFmtId="0" fontId="1" fillId="6" borderId="52" xfId="0" applyFont="1" applyFill="1" applyBorder="1" applyAlignment="1" applyProtection="1">
      <alignment/>
      <protection/>
    </xf>
    <xf numFmtId="0" fontId="1" fillId="6" borderId="51" xfId="0" applyFont="1" applyFill="1" applyBorder="1" applyAlignment="1" applyProtection="1">
      <alignment horizontal="center"/>
      <protection/>
    </xf>
    <xf numFmtId="10" fontId="15" fillId="5" borderId="72" xfId="22" applyNumberFormat="1" applyFont="1" applyFill="1" applyBorder="1" applyAlignment="1" applyProtection="1">
      <alignment/>
      <protection locked="0"/>
    </xf>
    <xf numFmtId="44" fontId="15" fillId="5" borderId="72" xfId="17" applyNumberFormat="1" applyFont="1" applyFill="1" applyBorder="1" applyAlignment="1" applyProtection="1">
      <alignment/>
      <protection locked="0"/>
    </xf>
    <xf numFmtId="44" fontId="15" fillId="5" borderId="74" xfId="17" applyNumberFormat="1" applyFont="1" applyFill="1" applyBorder="1" applyAlignment="1" applyProtection="1">
      <alignment/>
      <protection locked="0"/>
    </xf>
    <xf numFmtId="179" fontId="15" fillId="6" borderId="22" xfId="15" applyNumberFormat="1" applyFont="1" applyFill="1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6" borderId="70" xfId="0" applyFill="1" applyBorder="1" applyAlignment="1">
      <alignment/>
    </xf>
    <xf numFmtId="0" fontId="1" fillId="6" borderId="26" xfId="0" applyFont="1" applyFill="1" applyBorder="1" applyAlignment="1">
      <alignment/>
    </xf>
    <xf numFmtId="0" fontId="0" fillId="6" borderId="6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73" xfId="0" applyFill="1" applyBorder="1" applyAlignment="1">
      <alignment/>
    </xf>
    <xf numFmtId="0" fontId="7" fillId="6" borderId="106" xfId="0" applyFont="1" applyFill="1" applyBorder="1" applyAlignment="1">
      <alignment horizontal="center"/>
    </xf>
    <xf numFmtId="0" fontId="1" fillId="6" borderId="70" xfId="0" applyFont="1" applyFill="1" applyBorder="1" applyAlignment="1">
      <alignment/>
    </xf>
    <xf numFmtId="0" fontId="0" fillId="6" borderId="71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72" xfId="0" applyFill="1" applyBorder="1" applyAlignment="1">
      <alignment/>
    </xf>
    <xf numFmtId="0" fontId="0" fillId="6" borderId="74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95" xfId="0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6" borderId="16" xfId="0" applyFill="1" applyBorder="1" applyAlignment="1">
      <alignment/>
    </xf>
    <xf numFmtId="0" fontId="7" fillId="6" borderId="16" xfId="0" applyFont="1" applyFill="1" applyBorder="1" applyAlignment="1">
      <alignment/>
    </xf>
    <xf numFmtId="0" fontId="1" fillId="6" borderId="73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0" fontId="7" fillId="6" borderId="11" xfId="0" applyFont="1" applyFill="1" applyBorder="1" applyAlignment="1">
      <alignment horizontal="center"/>
    </xf>
    <xf numFmtId="0" fontId="7" fillId="6" borderId="61" xfId="0" applyFont="1" applyFill="1" applyBorder="1" applyAlignment="1">
      <alignment/>
    </xf>
    <xf numFmtId="2" fontId="0" fillId="6" borderId="11" xfId="0" applyNumberFormat="1" applyFill="1" applyBorder="1" applyAlignment="1">
      <alignment/>
    </xf>
    <xf numFmtId="0" fontId="7" fillId="6" borderId="20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Alignment="1">
      <alignment/>
    </xf>
    <xf numFmtId="0" fontId="1" fillId="6" borderId="16" xfId="0" applyFont="1" applyFill="1" applyBorder="1" applyAlignment="1">
      <alignment/>
    </xf>
    <xf numFmtId="0" fontId="0" fillId="6" borderId="23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74" xfId="0" applyFont="1" applyFill="1" applyBorder="1" applyAlignment="1">
      <alignment/>
    </xf>
    <xf numFmtId="0" fontId="0" fillId="6" borderId="86" xfId="0" applyFill="1" applyBorder="1" applyAlignment="1">
      <alignment/>
    </xf>
    <xf numFmtId="0" fontId="0" fillId="6" borderId="61" xfId="0" applyFill="1" applyBorder="1" applyAlignment="1">
      <alignment horizontal="center"/>
    </xf>
    <xf numFmtId="0" fontId="1" fillId="3" borderId="70" xfId="0" applyFont="1" applyFill="1" applyBorder="1" applyAlignment="1">
      <alignment/>
    </xf>
    <xf numFmtId="0" fontId="0" fillId="3" borderId="71" xfId="0" applyFill="1" applyBorder="1" applyAlignment="1">
      <alignment/>
    </xf>
    <xf numFmtId="0" fontId="0" fillId="5" borderId="100" xfId="0" applyFill="1" applyBorder="1" applyAlignment="1" applyProtection="1">
      <alignment/>
      <protection locked="0"/>
    </xf>
    <xf numFmtId="165" fontId="0" fillId="5" borderId="100" xfId="17" applyNumberFormat="1" applyFill="1" applyBorder="1" applyAlignment="1" applyProtection="1">
      <alignment/>
      <protection locked="0"/>
    </xf>
    <xf numFmtId="0" fontId="0" fillId="5" borderId="97" xfId="0" applyFill="1" applyBorder="1" applyAlignment="1" applyProtection="1">
      <alignment/>
      <protection locked="0"/>
    </xf>
    <xf numFmtId="165" fontId="0" fillId="5" borderId="97" xfId="17" applyNumberFormat="1" applyFill="1" applyBorder="1" applyAlignment="1" applyProtection="1">
      <alignment/>
      <protection locked="0"/>
    </xf>
    <xf numFmtId="0" fontId="0" fillId="5" borderId="94" xfId="0" applyFill="1" applyBorder="1" applyAlignment="1" applyProtection="1">
      <alignment/>
      <protection locked="0"/>
    </xf>
    <xf numFmtId="165" fontId="0" fillId="5" borderId="94" xfId="17" applyNumberFormat="1" applyFill="1" applyBorder="1" applyAlignment="1" applyProtection="1">
      <alignment/>
      <protection locked="0"/>
    </xf>
    <xf numFmtId="0" fontId="0" fillId="5" borderId="101" xfId="0" applyFill="1" applyBorder="1" applyAlignment="1" applyProtection="1">
      <alignment/>
      <protection locked="0"/>
    </xf>
    <xf numFmtId="165" fontId="0" fillId="5" borderId="101" xfId="17" applyNumberFormat="1" applyFill="1" applyBorder="1" applyAlignment="1" applyProtection="1">
      <alignment/>
      <protection locked="0"/>
    </xf>
    <xf numFmtId="0" fontId="0" fillId="5" borderId="96" xfId="0" applyFont="1" applyFill="1" applyBorder="1" applyAlignment="1" applyProtection="1">
      <alignment/>
      <protection locked="0"/>
    </xf>
    <xf numFmtId="165" fontId="0" fillId="5" borderId="107" xfId="17" applyNumberFormat="1" applyFill="1" applyBorder="1" applyAlignment="1" applyProtection="1">
      <alignment/>
      <protection locked="0"/>
    </xf>
    <xf numFmtId="0" fontId="0" fillId="5" borderId="102" xfId="0" applyFill="1" applyBorder="1" applyAlignment="1" applyProtection="1">
      <alignment/>
      <protection locked="0"/>
    </xf>
    <xf numFmtId="0" fontId="0" fillId="5" borderId="100" xfId="0" applyFont="1" applyFill="1" applyBorder="1" applyAlignment="1" applyProtection="1">
      <alignment/>
      <protection locked="0"/>
    </xf>
    <xf numFmtId="165" fontId="0" fillId="5" borderId="13" xfId="17" applyNumberFormat="1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97" xfId="0" applyFont="1" applyFill="1" applyBorder="1" applyAlignment="1" applyProtection="1">
      <alignment/>
      <protection locked="0"/>
    </xf>
    <xf numFmtId="165" fontId="0" fillId="5" borderId="10" xfId="17" applyNumberFormat="1" applyFill="1" applyBorder="1" applyAlignment="1" applyProtection="1">
      <alignment/>
      <protection locked="0"/>
    </xf>
    <xf numFmtId="0" fontId="0" fillId="5" borderId="105" xfId="0" applyFont="1" applyFill="1" applyBorder="1" applyAlignment="1" applyProtection="1">
      <alignment/>
      <protection locked="0"/>
    </xf>
    <xf numFmtId="165" fontId="0" fillId="5" borderId="73" xfId="17" applyNumberForma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4" fillId="6" borderId="96" xfId="0" applyFont="1" applyFill="1" applyBorder="1" applyAlignment="1">
      <alignment/>
    </xf>
    <xf numFmtId="0" fontId="1" fillId="6" borderId="99" xfId="0" applyFont="1" applyFill="1" applyBorder="1" applyAlignment="1">
      <alignment horizontal="center" vertical="top" wrapText="1"/>
    </xf>
    <xf numFmtId="0" fontId="1" fillId="6" borderId="93" xfId="0" applyFont="1" applyFill="1" applyBorder="1" applyAlignment="1">
      <alignment horizontal="center" vertical="top" wrapText="1"/>
    </xf>
    <xf numFmtId="165" fontId="0" fillId="6" borderId="100" xfId="17" applyNumberFormat="1" applyFill="1" applyBorder="1" applyAlignment="1">
      <alignment/>
    </xf>
    <xf numFmtId="165" fontId="0" fillId="6" borderId="101" xfId="17" applyNumberFormat="1" applyFill="1" applyBorder="1" applyAlignment="1">
      <alignment/>
    </xf>
    <xf numFmtId="165" fontId="1" fillId="6" borderId="74" xfId="17" applyNumberFormat="1" applyFont="1" applyFill="1" applyBorder="1" applyAlignment="1">
      <alignment/>
    </xf>
    <xf numFmtId="0" fontId="1" fillId="6" borderId="28" xfId="0" applyFont="1" applyFill="1" applyBorder="1" applyAlignment="1">
      <alignment/>
    </xf>
    <xf numFmtId="0" fontId="4" fillId="6" borderId="21" xfId="0" applyFont="1" applyFill="1" applyBorder="1" applyAlignment="1">
      <alignment/>
    </xf>
    <xf numFmtId="4" fontId="0" fillId="6" borderId="96" xfId="17" applyNumberFormat="1" applyFill="1" applyBorder="1" applyAlignment="1">
      <alignment/>
    </xf>
    <xf numFmtId="4" fontId="0" fillId="6" borderId="97" xfId="17" applyNumberFormat="1" applyFill="1" applyBorder="1" applyAlignment="1">
      <alignment/>
    </xf>
    <xf numFmtId="4" fontId="0" fillId="6" borderId="101" xfId="17" applyNumberFormat="1" applyFill="1" applyBorder="1" applyAlignment="1">
      <alignment/>
    </xf>
    <xf numFmtId="0" fontId="1" fillId="6" borderId="52" xfId="0" applyFont="1" applyFill="1" applyBorder="1" applyAlignment="1">
      <alignment/>
    </xf>
    <xf numFmtId="0" fontId="0" fillId="6" borderId="51" xfId="0" applyFill="1" applyBorder="1" applyAlignment="1">
      <alignment/>
    </xf>
    <xf numFmtId="0" fontId="4" fillId="6" borderId="52" xfId="0" applyFont="1" applyFill="1" applyBorder="1" applyAlignment="1">
      <alignment/>
    </xf>
    <xf numFmtId="0" fontId="4" fillId="6" borderId="108" xfId="0" applyFont="1" applyFill="1" applyBorder="1" applyAlignment="1">
      <alignment/>
    </xf>
    <xf numFmtId="0" fontId="0" fillId="6" borderId="44" xfId="0" applyFill="1" applyBorder="1" applyAlignment="1">
      <alignment/>
    </xf>
    <xf numFmtId="165" fontId="1" fillId="6" borderId="93" xfId="17" applyNumberFormat="1" applyFont="1" applyFill="1" applyBorder="1" applyAlignment="1">
      <alignment/>
    </xf>
    <xf numFmtId="165" fontId="1" fillId="6" borderId="72" xfId="17" applyNumberFormat="1" applyFont="1" applyFill="1" applyBorder="1" applyAlignment="1">
      <alignment/>
    </xf>
    <xf numFmtId="165" fontId="1" fillId="6" borderId="109" xfId="17" applyNumberFormat="1" applyFont="1" applyFill="1" applyBorder="1" applyAlignment="1">
      <alignment/>
    </xf>
    <xf numFmtId="0" fontId="1" fillId="6" borderId="51" xfId="0" applyFont="1" applyFill="1" applyBorder="1" applyAlignment="1">
      <alignment/>
    </xf>
    <xf numFmtId="167" fontId="1" fillId="6" borderId="93" xfId="17" applyFont="1" applyFill="1" applyBorder="1" applyAlignment="1">
      <alignment/>
    </xf>
    <xf numFmtId="0" fontId="0" fillId="5" borderId="21" xfId="0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5" borderId="23" xfId="0" applyFont="1" applyFill="1" applyBorder="1" applyAlignment="1" applyProtection="1">
      <alignment/>
      <protection locked="0"/>
    </xf>
    <xf numFmtId="2" fontId="0" fillId="5" borderId="72" xfId="0" applyNumberFormat="1" applyFill="1" applyBorder="1" applyAlignment="1" applyProtection="1">
      <alignment/>
      <protection locked="0"/>
    </xf>
    <xf numFmtId="2" fontId="0" fillId="5" borderId="46" xfId="0" applyNumberFormat="1" applyFill="1" applyBorder="1" applyAlignment="1" applyProtection="1">
      <alignment/>
      <protection locked="0"/>
    </xf>
    <xf numFmtId="0" fontId="1" fillId="6" borderId="102" xfId="0" applyFont="1" applyFill="1" applyBorder="1" applyAlignment="1">
      <alignment/>
    </xf>
    <xf numFmtId="0" fontId="0" fillId="6" borderId="107" xfId="0" applyFill="1" applyBorder="1" applyAlignment="1">
      <alignment/>
    </xf>
    <xf numFmtId="2" fontId="0" fillId="6" borderId="71" xfId="0" applyNumberFormat="1" applyFill="1" applyBorder="1" applyAlignment="1">
      <alignment/>
    </xf>
    <xf numFmtId="2" fontId="0" fillId="6" borderId="72" xfId="0" applyNumberFormat="1" applyFill="1" applyBorder="1" applyAlignment="1">
      <alignment/>
    </xf>
    <xf numFmtId="2" fontId="0" fillId="6" borderId="110" xfId="0" applyNumberFormat="1" applyFill="1" applyBorder="1" applyAlignment="1">
      <alignment/>
    </xf>
    <xf numFmtId="2" fontId="0" fillId="6" borderId="71" xfId="0" applyNumberFormat="1" applyFill="1" applyBorder="1" applyAlignment="1" applyProtection="1">
      <alignment/>
      <protection locked="0"/>
    </xf>
    <xf numFmtId="0" fontId="1" fillId="6" borderId="52" xfId="0" applyFont="1" applyFill="1" applyBorder="1" applyAlignment="1">
      <alignment/>
    </xf>
    <xf numFmtId="0" fontId="0" fillId="5" borderId="84" xfId="0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1" fillId="5" borderId="75" xfId="0" applyFont="1" applyFill="1" applyBorder="1" applyAlignment="1" applyProtection="1">
      <alignment/>
      <protection/>
    </xf>
    <xf numFmtId="0" fontId="0" fillId="5" borderId="77" xfId="0" applyFill="1" applyBorder="1" applyAlignment="1" applyProtection="1">
      <alignment/>
      <protection/>
    </xf>
    <xf numFmtId="0" fontId="0" fillId="7" borderId="75" xfId="0" applyFill="1" applyBorder="1" applyAlignment="1" applyProtection="1">
      <alignment/>
      <protection/>
    </xf>
    <xf numFmtId="0" fontId="0" fillId="6" borderId="76" xfId="0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1" fontId="0" fillId="6" borderId="14" xfId="0" applyNumberFormat="1" applyFill="1" applyBorder="1" applyAlignment="1" applyProtection="1">
      <alignment/>
      <protection/>
    </xf>
    <xf numFmtId="10" fontId="0" fillId="6" borderId="14" xfId="0" applyNumberFormat="1" applyFill="1" applyBorder="1" applyAlignment="1" applyProtection="1">
      <alignment/>
      <protection/>
    </xf>
    <xf numFmtId="2" fontId="0" fillId="6" borderId="15" xfId="0" applyNumberFormat="1" applyFill="1" applyBorder="1" applyAlignment="1" applyProtection="1">
      <alignment/>
      <protection/>
    </xf>
    <xf numFmtId="0" fontId="6" fillId="6" borderId="29" xfId="0" applyFont="1" applyFill="1" applyBorder="1" applyAlignment="1" applyProtection="1">
      <alignment/>
      <protection/>
    </xf>
    <xf numFmtId="0" fontId="6" fillId="6" borderId="30" xfId="0" applyFont="1" applyFill="1" applyBorder="1" applyAlignment="1" applyProtection="1">
      <alignment/>
      <protection/>
    </xf>
    <xf numFmtId="0" fontId="0" fillId="6" borderId="31" xfId="0" applyFill="1" applyBorder="1" applyAlignment="1" applyProtection="1">
      <alignment/>
      <protection/>
    </xf>
    <xf numFmtId="0" fontId="0" fillId="6" borderId="111" xfId="0" applyFill="1" applyBorder="1" applyAlignment="1" applyProtection="1">
      <alignment/>
      <protection/>
    </xf>
    <xf numFmtId="0" fontId="0" fillId="6" borderId="112" xfId="0" applyFill="1" applyBorder="1" applyAlignment="1" applyProtection="1">
      <alignment/>
      <protection/>
    </xf>
    <xf numFmtId="2" fontId="0" fillId="6" borderId="113" xfId="0" applyNumberFormat="1" applyFill="1" applyBorder="1" applyAlignment="1" applyProtection="1">
      <alignment/>
      <protection/>
    </xf>
    <xf numFmtId="0" fontId="1" fillId="6" borderId="111" xfId="0" applyFont="1" applyFill="1" applyBorder="1" applyAlignment="1" applyProtection="1">
      <alignment/>
      <protection/>
    </xf>
    <xf numFmtId="0" fontId="1" fillId="6" borderId="111" xfId="0" applyFont="1" applyFill="1" applyBorder="1" applyAlignment="1" applyProtection="1">
      <alignment/>
      <protection/>
    </xf>
    <xf numFmtId="0" fontId="1" fillId="6" borderId="32" xfId="0" applyFont="1" applyFill="1" applyBorder="1" applyAlignment="1" applyProtection="1">
      <alignment/>
      <protection/>
    </xf>
    <xf numFmtId="0" fontId="0" fillId="6" borderId="33" xfId="0" applyFill="1" applyBorder="1" applyAlignment="1" applyProtection="1">
      <alignment/>
      <protection/>
    </xf>
    <xf numFmtId="0" fontId="6" fillId="6" borderId="1" xfId="0" applyFont="1" applyFill="1" applyBorder="1" applyAlignment="1" applyProtection="1">
      <alignment/>
      <protection/>
    </xf>
    <xf numFmtId="0" fontId="6" fillId="6" borderId="2" xfId="0" applyFont="1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0" fillId="6" borderId="25" xfId="0" applyFill="1" applyBorder="1" applyAlignment="1" applyProtection="1">
      <alignment/>
      <protection/>
    </xf>
    <xf numFmtId="166" fontId="0" fillId="6" borderId="8" xfId="0" applyNumberFormat="1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4" fillId="6" borderId="21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7" borderId="52" xfId="0" applyFont="1" applyFill="1" applyBorder="1" applyAlignment="1">
      <alignment/>
    </xf>
    <xf numFmtId="0" fontId="0" fillId="6" borderId="93" xfId="0" applyFill="1" applyBorder="1" applyAlignment="1">
      <alignment/>
    </xf>
    <xf numFmtId="0" fontId="0" fillId="7" borderId="26" xfId="0" applyFill="1" applyBorder="1" applyAlignment="1">
      <alignment/>
    </xf>
    <xf numFmtId="0" fontId="0" fillId="6" borderId="70" xfId="0" applyFill="1" applyBorder="1" applyAlignment="1">
      <alignment/>
    </xf>
    <xf numFmtId="0" fontId="0" fillId="7" borderId="21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28" xfId="0" applyFill="1" applyBorder="1" applyAlignment="1">
      <alignment/>
    </xf>
    <xf numFmtId="0" fontId="0" fillId="6" borderId="73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70" xfId="0" applyFill="1" applyBorder="1" applyAlignment="1" applyProtection="1">
      <alignment/>
      <protection locked="0"/>
    </xf>
    <xf numFmtId="0" fontId="0" fillId="6" borderId="21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19" xfId="0" applyFill="1" applyBorder="1" applyAlignment="1">
      <alignment horizontal="right"/>
    </xf>
    <xf numFmtId="10" fontId="0" fillId="6" borderId="27" xfId="22" applyNumberFormat="1" applyFill="1" applyBorder="1" applyAlignment="1" applyProtection="1">
      <alignment horizontal="right"/>
      <protection/>
    </xf>
    <xf numFmtId="0" fontId="0" fillId="6" borderId="27" xfId="0" applyFill="1" applyBorder="1" applyAlignment="1" applyProtection="1">
      <alignment horizontal="right"/>
      <protection/>
    </xf>
    <xf numFmtId="0" fontId="4" fillId="6" borderId="0" xfId="0" applyFont="1" applyFill="1" applyBorder="1" applyAlignment="1">
      <alignment/>
    </xf>
    <xf numFmtId="0" fontId="0" fillId="6" borderId="72" xfId="0" applyFill="1" applyBorder="1" applyAlignment="1">
      <alignment horizontal="right"/>
    </xf>
    <xf numFmtId="0" fontId="1" fillId="7" borderId="51" xfId="0" applyFont="1" applyFill="1" applyBorder="1" applyAlignment="1">
      <alignment/>
    </xf>
    <xf numFmtId="0" fontId="0" fillId="6" borderId="93" xfId="0" applyFill="1" applyBorder="1" applyAlignment="1" applyProtection="1">
      <alignment/>
      <protection locked="0"/>
    </xf>
    <xf numFmtId="0" fontId="0" fillId="7" borderId="70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73" xfId="0" applyFill="1" applyBorder="1" applyAlignment="1">
      <alignment/>
    </xf>
    <xf numFmtId="0" fontId="0" fillId="6" borderId="22" xfId="0" applyFill="1" applyBorder="1" applyAlignment="1">
      <alignment horizontal="right"/>
    </xf>
    <xf numFmtId="10" fontId="0" fillId="6" borderId="42" xfId="22" applyNumberFormat="1" applyFill="1" applyBorder="1" applyAlignment="1" applyProtection="1">
      <alignment horizontal="right"/>
      <protection/>
    </xf>
    <xf numFmtId="0" fontId="0" fillId="6" borderId="42" xfId="0" applyFill="1" applyBorder="1" applyAlignment="1" applyProtection="1">
      <alignment horizontal="right"/>
      <protection/>
    </xf>
    <xf numFmtId="0" fontId="1" fillId="6" borderId="21" xfId="0" applyFont="1" applyFill="1" applyBorder="1" applyAlignment="1">
      <alignment/>
    </xf>
    <xf numFmtId="2" fontId="0" fillId="6" borderId="17" xfId="0" applyNumberFormat="1" applyFill="1" applyBorder="1" applyAlignment="1">
      <alignment horizontal="right"/>
    </xf>
    <xf numFmtId="165" fontId="0" fillId="6" borderId="17" xfId="17" applyNumberFormat="1" applyFill="1" applyBorder="1" applyAlignment="1">
      <alignment horizontal="right"/>
    </xf>
    <xf numFmtId="10" fontId="0" fillId="6" borderId="17" xfId="22" applyNumberFormat="1" applyFill="1" applyBorder="1" applyAlignment="1">
      <alignment horizontal="right"/>
    </xf>
    <xf numFmtId="167" fontId="0" fillId="6" borderId="17" xfId="17" applyNumberFormat="1" applyFill="1" applyBorder="1" applyAlignment="1">
      <alignment horizontal="right"/>
    </xf>
    <xf numFmtId="167" fontId="0" fillId="6" borderId="17" xfId="17" applyFill="1" applyBorder="1" applyAlignment="1">
      <alignment horizontal="right"/>
    </xf>
    <xf numFmtId="167" fontId="0" fillId="6" borderId="86" xfId="17" applyFill="1" applyBorder="1" applyAlignment="1">
      <alignment horizontal="right"/>
    </xf>
    <xf numFmtId="0" fontId="1" fillId="6" borderId="0" xfId="0" applyFont="1" applyFill="1" applyBorder="1" applyAlignment="1">
      <alignment/>
    </xf>
    <xf numFmtId="2" fontId="0" fillId="6" borderId="49" xfId="0" applyNumberFormat="1" applyFill="1" applyBorder="1" applyAlignment="1">
      <alignment horizontal="right"/>
    </xf>
    <xf numFmtId="165" fontId="0" fillId="6" borderId="49" xfId="17" applyNumberFormat="1" applyFill="1" applyBorder="1" applyAlignment="1">
      <alignment horizontal="right"/>
    </xf>
    <xf numFmtId="10" fontId="0" fillId="6" borderId="49" xfId="22" applyNumberFormat="1" applyFill="1" applyBorder="1" applyAlignment="1">
      <alignment horizontal="right"/>
    </xf>
    <xf numFmtId="167" fontId="0" fillId="6" borderId="49" xfId="17" applyNumberFormat="1" applyFill="1" applyBorder="1" applyAlignment="1">
      <alignment horizontal="right"/>
    </xf>
    <xf numFmtId="167" fontId="0" fillId="6" borderId="49" xfId="17" applyFill="1" applyBorder="1" applyAlignment="1">
      <alignment horizontal="right"/>
    </xf>
    <xf numFmtId="167" fontId="0" fillId="6" borderId="87" xfId="17" applyFill="1" applyBorder="1" applyAlignment="1">
      <alignment horizontal="right"/>
    </xf>
    <xf numFmtId="0" fontId="6" fillId="6" borderId="0" xfId="0" applyFont="1" applyFill="1" applyBorder="1" applyAlignment="1">
      <alignment/>
    </xf>
    <xf numFmtId="0" fontId="6" fillId="6" borderId="17" xfId="0" applyFont="1" applyFill="1" applyBorder="1" applyAlignment="1">
      <alignment horizontal="right"/>
    </xf>
    <xf numFmtId="167" fontId="1" fillId="6" borderId="68" xfId="17" applyFont="1" applyFill="1" applyBorder="1" applyAlignment="1">
      <alignment horizontal="right"/>
    </xf>
    <xf numFmtId="167" fontId="1" fillId="6" borderId="26" xfId="17" applyFont="1" applyFill="1" applyBorder="1" applyAlignment="1">
      <alignment horizontal="right"/>
    </xf>
    <xf numFmtId="0" fontId="1" fillId="6" borderId="51" xfId="0" applyFont="1" applyFill="1" applyBorder="1" applyAlignment="1">
      <alignment/>
    </xf>
    <xf numFmtId="0" fontId="6" fillId="6" borderId="49" xfId="0" applyFont="1" applyFill="1" applyBorder="1" applyAlignment="1">
      <alignment horizontal="right"/>
    </xf>
    <xf numFmtId="167" fontId="1" fillId="6" borderId="53" xfId="17" applyFont="1" applyFill="1" applyBorder="1" applyAlignment="1">
      <alignment horizontal="right"/>
    </xf>
    <xf numFmtId="0" fontId="1" fillId="6" borderId="70" xfId="0" applyFont="1" applyFill="1" applyBorder="1" applyAlignment="1">
      <alignment/>
    </xf>
    <xf numFmtId="167" fontId="1" fillId="6" borderId="104" xfId="17" applyFont="1" applyFill="1" applyBorder="1" applyAlignment="1">
      <alignment horizontal="right"/>
    </xf>
    <xf numFmtId="0" fontId="1" fillId="5" borderId="0" xfId="0" applyFont="1" applyFill="1" applyBorder="1" applyAlignment="1" applyProtection="1">
      <alignment horizontal="right"/>
      <protection/>
    </xf>
    <xf numFmtId="0" fontId="1" fillId="5" borderId="72" xfId="0" applyFont="1" applyFill="1" applyBorder="1" applyAlignment="1" applyProtection="1">
      <alignment horizontal="right"/>
      <protection/>
    </xf>
    <xf numFmtId="0" fontId="1" fillId="5" borderId="52" xfId="0" applyFont="1" applyFill="1" applyBorder="1" applyAlignment="1" applyProtection="1">
      <alignment horizontal="right"/>
      <protection locked="0"/>
    </xf>
    <xf numFmtId="0" fontId="0" fillId="5" borderId="70" xfId="0" applyFill="1" applyBorder="1" applyAlignment="1" applyProtection="1">
      <alignment horizontal="right"/>
      <protection locked="0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73" xfId="0" applyFill="1" applyBorder="1" applyAlignment="1" applyProtection="1">
      <alignment horizontal="right"/>
      <protection locked="0"/>
    </xf>
    <xf numFmtId="165" fontId="0" fillId="5" borderId="80" xfId="17" applyNumberFormat="1" applyFill="1" applyBorder="1" applyAlignment="1" applyProtection="1">
      <alignment horizontal="right"/>
      <protection locked="0"/>
    </xf>
    <xf numFmtId="0" fontId="0" fillId="5" borderId="42" xfId="0" applyFill="1" applyBorder="1" applyAlignment="1" applyProtection="1">
      <alignment horizontal="right"/>
      <protection locked="0"/>
    </xf>
    <xf numFmtId="0" fontId="0" fillId="5" borderId="17" xfId="0" applyFill="1" applyBorder="1" applyAlignment="1" applyProtection="1">
      <alignment horizontal="right"/>
      <protection locked="0"/>
    </xf>
    <xf numFmtId="165" fontId="0" fillId="5" borderId="17" xfId="17" applyNumberFormat="1" applyFill="1" applyBorder="1" applyAlignment="1" applyProtection="1">
      <alignment horizontal="right"/>
      <protection locked="0"/>
    </xf>
    <xf numFmtId="0" fontId="1" fillId="5" borderId="99" xfId="0" applyFont="1" applyFill="1" applyBorder="1" applyAlignment="1" applyProtection="1">
      <alignment horizontal="right"/>
      <protection locked="0"/>
    </xf>
    <xf numFmtId="0" fontId="0" fillId="5" borderId="71" xfId="0" applyFill="1" applyBorder="1" applyAlignment="1" applyProtection="1">
      <alignment horizontal="right"/>
      <protection locked="0"/>
    </xf>
    <xf numFmtId="0" fontId="0" fillId="5" borderId="72" xfId="0" applyFill="1" applyBorder="1" applyAlignment="1" applyProtection="1">
      <alignment horizontal="right"/>
      <protection locked="0"/>
    </xf>
    <xf numFmtId="0" fontId="0" fillId="5" borderId="74" xfId="0" applyFill="1" applyBorder="1" applyAlignment="1" applyProtection="1">
      <alignment horizontal="right"/>
      <protection locked="0"/>
    </xf>
    <xf numFmtId="165" fontId="0" fillId="5" borderId="40" xfId="17" applyNumberFormat="1" applyFill="1" applyBorder="1" applyAlignment="1" applyProtection="1">
      <alignment horizontal="right"/>
      <protection locked="0"/>
    </xf>
    <xf numFmtId="0" fontId="0" fillId="5" borderId="49" xfId="0" applyFill="1" applyBorder="1" applyAlignment="1" applyProtection="1">
      <alignment horizontal="right"/>
      <protection locked="0"/>
    </xf>
    <xf numFmtId="165" fontId="0" fillId="5" borderId="49" xfId="17" applyNumberFormat="1" applyFill="1" applyBorder="1" applyAlignment="1" applyProtection="1">
      <alignment horizontal="right"/>
      <protection locked="0"/>
    </xf>
    <xf numFmtId="0" fontId="0" fillId="5" borderId="87" xfId="0" applyFill="1" applyBorder="1" applyAlignment="1" applyProtection="1">
      <alignment horizontal="right"/>
      <protection locked="0"/>
    </xf>
    <xf numFmtId="0" fontId="1" fillId="5" borderId="26" xfId="0" applyFont="1" applyFill="1" applyBorder="1" applyAlignment="1" applyProtection="1">
      <alignment/>
      <protection/>
    </xf>
    <xf numFmtId="0" fontId="1" fillId="5" borderId="70" xfId="0" applyFont="1" applyFill="1" applyBorder="1" applyAlignment="1" applyProtection="1">
      <alignment/>
      <protection/>
    </xf>
    <xf numFmtId="0" fontId="1" fillId="5" borderId="70" xfId="0" applyFont="1" applyFill="1" applyBorder="1" applyAlignment="1" applyProtection="1">
      <alignment horizontal="right"/>
      <protection/>
    </xf>
    <xf numFmtId="0" fontId="1" fillId="5" borderId="71" xfId="0" applyFont="1" applyFill="1" applyBorder="1" applyAlignment="1" applyProtection="1">
      <alignment horizontal="right"/>
      <protection/>
    </xf>
    <xf numFmtId="0" fontId="4" fillId="5" borderId="53" xfId="0" applyFont="1" applyFill="1" applyBorder="1" applyAlignment="1" applyProtection="1">
      <alignment horizontal="right"/>
      <protection locked="0"/>
    </xf>
    <xf numFmtId="0" fontId="0" fillId="5" borderId="49" xfId="0" applyFill="1" applyBorder="1" applyAlignment="1" applyProtection="1">
      <alignment/>
      <protection locked="0"/>
    </xf>
    <xf numFmtId="0" fontId="5" fillId="6" borderId="93" xfId="0" applyFont="1" applyFill="1" applyBorder="1" applyAlignment="1">
      <alignment/>
    </xf>
    <xf numFmtId="0" fontId="4" fillId="7" borderId="52" xfId="0" applyFont="1" applyFill="1" applyBorder="1" applyAlignment="1">
      <alignment/>
    </xf>
    <xf numFmtId="0" fontId="1" fillId="6" borderId="51" xfId="0" applyFont="1" applyFill="1" applyBorder="1" applyAlignment="1">
      <alignment/>
    </xf>
    <xf numFmtId="0" fontId="4" fillId="6" borderId="26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" fillId="6" borderId="52" xfId="0" applyFont="1" applyFill="1" applyBorder="1" applyAlignment="1">
      <alignment/>
    </xf>
    <xf numFmtId="0" fontId="4" fillId="6" borderId="51" xfId="0" applyFont="1" applyFill="1" applyBorder="1" applyAlignment="1">
      <alignment/>
    </xf>
    <xf numFmtId="0" fontId="5" fillId="6" borderId="51" xfId="0" applyFont="1" applyFill="1" applyBorder="1" applyAlignment="1">
      <alignment/>
    </xf>
    <xf numFmtId="0" fontId="6" fillId="6" borderId="7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6" fillId="6" borderId="71" xfId="0" applyFont="1" applyFill="1" applyBorder="1" applyAlignment="1">
      <alignment/>
    </xf>
    <xf numFmtId="165" fontId="0" fillId="6" borderId="72" xfId="17" applyNumberFormat="1" applyFill="1" applyBorder="1" applyAlignment="1" applyProtection="1">
      <alignment/>
      <protection/>
    </xf>
    <xf numFmtId="165" fontId="0" fillId="6" borderId="72" xfId="17" applyNumberFormat="1" applyFill="1" applyBorder="1" applyAlignment="1">
      <alignment/>
    </xf>
    <xf numFmtId="167" fontId="1" fillId="6" borderId="72" xfId="17" applyFont="1" applyFill="1" applyBorder="1" applyAlignment="1">
      <alignment/>
    </xf>
    <xf numFmtId="10" fontId="0" fillId="6" borderId="72" xfId="22" applyNumberFormat="1" applyFill="1" applyBorder="1" applyAlignment="1">
      <alignment/>
    </xf>
    <xf numFmtId="177" fontId="0" fillId="6" borderId="72" xfId="22" applyNumberFormat="1" applyFill="1" applyBorder="1" applyAlignment="1" applyProtection="1">
      <alignment/>
      <protection/>
    </xf>
    <xf numFmtId="0" fontId="7" fillId="6" borderId="0" xfId="0" applyFont="1" applyFill="1" applyBorder="1" applyAlignment="1">
      <alignment/>
    </xf>
    <xf numFmtId="167" fontId="0" fillId="6" borderId="72" xfId="17" applyFill="1" applyBorder="1" applyAlignment="1" applyProtection="1">
      <alignment/>
      <protection/>
    </xf>
    <xf numFmtId="166" fontId="1" fillId="6" borderId="93" xfId="0" applyNumberFormat="1" applyFont="1" applyFill="1" applyBorder="1" applyAlignment="1">
      <alignment/>
    </xf>
    <xf numFmtId="0" fontId="6" fillId="6" borderId="51" xfId="0" applyFont="1" applyFill="1" applyBorder="1" applyAlignment="1">
      <alignment/>
    </xf>
    <xf numFmtId="44" fontId="1" fillId="6" borderId="93" xfId="0" applyNumberFormat="1" applyFont="1" applyFill="1" applyBorder="1" applyAlignment="1">
      <alignment/>
    </xf>
    <xf numFmtId="0" fontId="0" fillId="6" borderId="93" xfId="0" applyFill="1" applyBorder="1" applyAlignment="1">
      <alignment/>
    </xf>
    <xf numFmtId="0" fontId="1" fillId="6" borderId="114" xfId="0" applyFont="1" applyFill="1" applyBorder="1" applyAlignment="1">
      <alignment/>
    </xf>
    <xf numFmtId="0" fontId="0" fillId="6" borderId="115" xfId="0" applyFill="1" applyBorder="1" applyAlignment="1">
      <alignment/>
    </xf>
    <xf numFmtId="0" fontId="0" fillId="6" borderId="116" xfId="0" applyFill="1" applyBorder="1" applyAlignment="1">
      <alignment/>
    </xf>
    <xf numFmtId="0" fontId="0" fillId="6" borderId="117" xfId="0" applyFill="1" applyBorder="1" applyAlignment="1">
      <alignment/>
    </xf>
    <xf numFmtId="0" fontId="0" fillId="6" borderId="118" xfId="0" applyFill="1" applyBorder="1" applyAlignment="1">
      <alignment horizontal="center"/>
    </xf>
    <xf numFmtId="0" fontId="0" fillId="6" borderId="95" xfId="0" applyFill="1" applyBorder="1" applyAlignment="1">
      <alignment horizontal="center"/>
    </xf>
    <xf numFmtId="166" fontId="0" fillId="6" borderId="72" xfId="0" applyNumberFormat="1" applyFill="1" applyBorder="1" applyAlignment="1">
      <alignment/>
    </xf>
    <xf numFmtId="0" fontId="4" fillId="6" borderId="119" xfId="0" applyFont="1" applyFill="1" applyBorder="1" applyAlignment="1">
      <alignment/>
    </xf>
    <xf numFmtId="0" fontId="0" fillId="6" borderId="78" xfId="0" applyFill="1" applyBorder="1" applyAlignment="1">
      <alignment/>
    </xf>
    <xf numFmtId="0" fontId="0" fillId="6" borderId="78" xfId="0" applyFill="1" applyBorder="1" applyAlignment="1">
      <alignment horizontal="center"/>
    </xf>
    <xf numFmtId="0" fontId="0" fillId="6" borderId="81" xfId="0" applyFill="1" applyBorder="1" applyAlignment="1">
      <alignment/>
    </xf>
    <xf numFmtId="0" fontId="0" fillId="6" borderId="81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120" xfId="0" applyFill="1" applyBorder="1" applyAlignment="1">
      <alignment/>
    </xf>
    <xf numFmtId="0" fontId="0" fillId="6" borderId="82" xfId="0" applyFill="1" applyBorder="1" applyAlignment="1">
      <alignment/>
    </xf>
    <xf numFmtId="0" fontId="4" fillId="6" borderId="119" xfId="0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5" borderId="60" xfId="0" applyFont="1" applyFill="1" applyBorder="1" applyAlignment="1" applyProtection="1">
      <alignment/>
      <protection locked="0"/>
    </xf>
    <xf numFmtId="0" fontId="0" fillId="5" borderId="60" xfId="0" applyFill="1" applyBorder="1" applyAlignment="1" applyProtection="1">
      <alignment/>
      <protection locked="0"/>
    </xf>
    <xf numFmtId="0" fontId="0" fillId="5" borderId="81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/>
    </xf>
    <xf numFmtId="10" fontId="0" fillId="6" borderId="19" xfId="22" applyNumberFormat="1" applyFill="1" applyBorder="1" applyAlignment="1" applyProtection="1">
      <alignment horizontal="right"/>
      <protection/>
    </xf>
    <xf numFmtId="10" fontId="0" fillId="6" borderId="22" xfId="22" applyNumberFormat="1" applyFill="1" applyBorder="1" applyAlignment="1" applyProtection="1">
      <alignment horizontal="right"/>
      <protection/>
    </xf>
    <xf numFmtId="43" fontId="0" fillId="0" borderId="0" xfId="0" applyNumberFormat="1" applyAlignment="1">
      <alignment/>
    </xf>
    <xf numFmtId="0" fontId="0" fillId="6" borderId="16" xfId="21" applyFont="1" applyFill="1" applyBorder="1" applyAlignment="1">
      <alignment horizontal="left"/>
      <protection/>
    </xf>
    <xf numFmtId="0" fontId="0" fillId="6" borderId="13" xfId="21" applyFill="1" applyBorder="1">
      <alignment/>
      <protection/>
    </xf>
    <xf numFmtId="0" fontId="0" fillId="6" borderId="13" xfId="21" applyFont="1" applyFill="1" applyBorder="1" applyAlignment="1">
      <alignment horizontal="right"/>
      <protection/>
    </xf>
    <xf numFmtId="10" fontId="0" fillId="5" borderId="11" xfId="21" applyNumberFormat="1" applyFill="1" applyBorder="1" applyProtection="1">
      <alignment/>
      <protection locked="0"/>
    </xf>
    <xf numFmtId="40" fontId="0" fillId="5" borderId="60" xfId="15" applyFont="1" applyFill="1" applyBorder="1" applyAlignment="1" applyProtection="1">
      <alignment/>
      <protection locked="0"/>
    </xf>
    <xf numFmtId="40" fontId="0" fillId="5" borderId="60" xfId="15" applyFill="1" applyBorder="1" applyAlignment="1" applyProtection="1">
      <alignment/>
      <protection locked="0"/>
    </xf>
    <xf numFmtId="40" fontId="0" fillId="5" borderId="81" xfId="15" applyFill="1" applyBorder="1" applyAlignment="1" applyProtection="1">
      <alignment/>
      <protection locked="0"/>
    </xf>
    <xf numFmtId="166" fontId="0" fillId="6" borderId="42" xfId="0" applyNumberFormat="1" applyFill="1" applyBorder="1" applyAlignment="1">
      <alignment/>
    </xf>
    <xf numFmtId="0" fontId="0" fillId="6" borderId="11" xfId="0" applyFont="1" applyFill="1" applyBorder="1" applyAlignment="1">
      <alignment horizontal="center" vertical="top" wrapText="1"/>
    </xf>
    <xf numFmtId="0" fontId="1" fillId="5" borderId="51" xfId="20" applyFont="1" applyFill="1" applyBorder="1" applyProtection="1">
      <alignment/>
      <protection/>
    </xf>
    <xf numFmtId="0" fontId="14" fillId="5" borderId="93" xfId="20" applyFont="1" applyFill="1" applyBorder="1" applyProtection="1">
      <alignment/>
      <protection/>
    </xf>
    <xf numFmtId="0" fontId="0" fillId="3" borderId="52" xfId="20" applyFont="1" applyFill="1" applyBorder="1">
      <alignment/>
      <protection/>
    </xf>
    <xf numFmtId="0" fontId="0" fillId="3" borderId="51" xfId="20" applyFont="1" applyFill="1" applyBorder="1">
      <alignment/>
      <protection/>
    </xf>
    <xf numFmtId="0" fontId="0" fillId="3" borderId="51" xfId="20" applyFill="1" applyBorder="1">
      <alignment/>
      <protection/>
    </xf>
    <xf numFmtId="0" fontId="0" fillId="3" borderId="93" xfId="20" applyFill="1" applyBorder="1">
      <alignment/>
      <protection/>
    </xf>
    <xf numFmtId="0" fontId="1" fillId="2" borderId="99" xfId="20" applyFont="1" applyFill="1" applyBorder="1" applyAlignment="1">
      <alignment horizontal="center" vertical="center" wrapText="1"/>
      <protection/>
    </xf>
    <xf numFmtId="0" fontId="1" fillId="3" borderId="52" xfId="20" applyFont="1" applyFill="1" applyBorder="1">
      <alignment/>
      <protection/>
    </xf>
    <xf numFmtId="0" fontId="1" fillId="3" borderId="51" xfId="20" applyFont="1" applyFill="1" applyBorder="1">
      <alignment/>
      <protection/>
    </xf>
    <xf numFmtId="0" fontId="1" fillId="3" borderId="51" xfId="20" applyFont="1" applyFill="1" applyBorder="1" applyAlignment="1">
      <alignment horizontal="center"/>
      <protection/>
    </xf>
    <xf numFmtId="0" fontId="0" fillId="3" borderId="52" xfId="20" applyFill="1" applyBorder="1">
      <alignment/>
      <protection/>
    </xf>
    <xf numFmtId="0" fontId="0" fillId="3" borderId="93" xfId="20" applyFill="1" applyBorder="1" applyAlignment="1">
      <alignment horizontal="center"/>
      <protection/>
    </xf>
    <xf numFmtId="178" fontId="0" fillId="5" borderId="96" xfId="15" applyNumberFormat="1" applyFont="1" applyFill="1" applyBorder="1" applyAlignment="1" applyProtection="1">
      <alignment horizontal="center"/>
      <protection locked="0"/>
    </xf>
    <xf numFmtId="38" fontId="0" fillId="5" borderId="97" xfId="15" applyNumberFormat="1" applyFont="1" applyFill="1" applyBorder="1" applyAlignment="1" applyProtection="1">
      <alignment horizontal="center"/>
      <protection locked="0"/>
    </xf>
    <xf numFmtId="40" fontId="0" fillId="5" borderId="97" xfId="15" applyFont="1" applyFill="1" applyBorder="1" applyAlignment="1" applyProtection="1">
      <alignment horizontal="center"/>
      <protection locked="0"/>
    </xf>
    <xf numFmtId="178" fontId="0" fillId="5" borderId="100" xfId="15" applyNumberFormat="1" applyFont="1" applyFill="1" applyBorder="1" applyAlignment="1" applyProtection="1">
      <alignment horizontal="center"/>
      <protection locked="0"/>
    </xf>
    <xf numFmtId="0" fontId="1" fillId="6" borderId="99" xfId="20" applyFont="1" applyFill="1" applyBorder="1">
      <alignment/>
      <protection/>
    </xf>
    <xf numFmtId="0" fontId="1" fillId="6" borderId="99" xfId="20" applyFont="1" applyFill="1" applyBorder="1" applyAlignment="1">
      <alignment horizontal="center" vertical="center" wrapText="1"/>
      <protection/>
    </xf>
    <xf numFmtId="167" fontId="0" fillId="6" borderId="96" xfId="19" applyNumberFormat="1" applyFont="1" applyFill="1" applyBorder="1" applyAlignment="1">
      <alignment/>
    </xf>
    <xf numFmtId="167" fontId="0" fillId="6" borderId="96" xfId="19" applyNumberFormat="1" applyFont="1" applyFill="1" applyBorder="1" applyAlignment="1">
      <alignment horizontal="center"/>
    </xf>
    <xf numFmtId="167" fontId="0" fillId="6" borderId="100" xfId="19" applyNumberFormat="1" applyFont="1" applyFill="1" applyBorder="1" applyAlignment="1">
      <alignment/>
    </xf>
    <xf numFmtId="167" fontId="0" fillId="6" borderId="100" xfId="19" applyNumberFormat="1" applyFont="1" applyFill="1" applyBorder="1" applyAlignment="1">
      <alignment horizontal="center"/>
    </xf>
    <xf numFmtId="167" fontId="0" fillId="6" borderId="105" xfId="19" applyNumberFormat="1" applyFont="1" applyFill="1" applyBorder="1" applyAlignment="1">
      <alignment/>
    </xf>
    <xf numFmtId="167" fontId="0" fillId="6" borderId="105" xfId="19" applyNumberFormat="1" applyFont="1" applyFill="1" applyBorder="1" applyAlignment="1">
      <alignment horizontal="center"/>
    </xf>
    <xf numFmtId="40" fontId="0" fillId="6" borderId="100" xfId="15" applyFont="1" applyFill="1" applyBorder="1" applyAlignment="1">
      <alignment horizontal="center"/>
    </xf>
    <xf numFmtId="9" fontId="0" fillId="6" borderId="100" xfId="22" applyFill="1" applyBorder="1" applyAlignment="1">
      <alignment horizontal="center"/>
    </xf>
    <xf numFmtId="178" fontId="0" fillId="6" borderId="100" xfId="15" applyNumberFormat="1" applyFont="1" applyFill="1" applyBorder="1" applyAlignment="1">
      <alignment horizontal="center"/>
    </xf>
    <xf numFmtId="38" fontId="0" fillId="6" borderId="100" xfId="15" applyNumberFormat="1" applyFill="1" applyBorder="1" applyAlignment="1">
      <alignment horizontal="center"/>
    </xf>
    <xf numFmtId="178" fontId="0" fillId="6" borderId="101" xfId="15" applyNumberFormat="1" applyFill="1" applyBorder="1" applyAlignment="1">
      <alignment horizontal="center"/>
    </xf>
    <xf numFmtId="167" fontId="0" fillId="6" borderId="49" xfId="17" applyNumberFormat="1" applyFill="1" applyBorder="1" applyAlignment="1">
      <alignment/>
    </xf>
    <xf numFmtId="167" fontId="0" fillId="5" borderId="22" xfId="17" applyFill="1" applyBorder="1" applyAlignment="1" applyProtection="1">
      <alignment/>
      <protection locked="0"/>
    </xf>
    <xf numFmtId="167" fontId="0" fillId="5" borderId="46" xfId="17" applyFill="1" applyBorder="1" applyAlignment="1" applyProtection="1">
      <alignment/>
      <protection locked="0"/>
    </xf>
    <xf numFmtId="167" fontId="0" fillId="5" borderId="53" xfId="17" applyFill="1" applyBorder="1" applyAlignment="1" applyProtection="1">
      <alignment/>
      <protection locked="0"/>
    </xf>
    <xf numFmtId="167" fontId="0" fillId="5" borderId="11" xfId="17" applyFont="1" applyFill="1" applyBorder="1" applyAlignment="1" applyProtection="1">
      <alignment/>
      <protection locked="0"/>
    </xf>
    <xf numFmtId="165" fontId="1" fillId="6" borderId="99" xfId="17" applyNumberFormat="1" applyFont="1" applyFill="1" applyBorder="1" applyAlignment="1">
      <alignment/>
    </xf>
    <xf numFmtId="167" fontId="1" fillId="6" borderId="99" xfId="17" applyFont="1" applyFill="1" applyBorder="1" applyAlignment="1">
      <alignment/>
    </xf>
    <xf numFmtId="0" fontId="1" fillId="6" borderId="103" xfId="0" applyFont="1" applyFill="1" applyBorder="1" applyAlignment="1" applyProtection="1">
      <alignment horizontal="left"/>
      <protection/>
    </xf>
    <xf numFmtId="0" fontId="0" fillId="3" borderId="52" xfId="0" applyFill="1" applyBorder="1" applyAlignment="1" applyProtection="1">
      <alignment/>
      <protection/>
    </xf>
    <xf numFmtId="0" fontId="0" fillId="3" borderId="51" xfId="0" applyFill="1" applyBorder="1" applyAlignment="1" applyProtection="1">
      <alignment/>
      <protection/>
    </xf>
    <xf numFmtId="0" fontId="0" fillId="3" borderId="93" xfId="0" applyFill="1" applyBorder="1" applyAlignment="1" applyProtection="1">
      <alignment/>
      <protection/>
    </xf>
    <xf numFmtId="0" fontId="15" fillId="0" borderId="106" xfId="0" applyFont="1" applyBorder="1" applyAlignment="1" applyProtection="1">
      <alignment/>
      <protection/>
    </xf>
    <xf numFmtId="179" fontId="0" fillId="0" borderId="27" xfId="0" applyNumberFormat="1" applyBorder="1" applyAlignment="1" applyProtection="1">
      <alignment/>
      <protection/>
    </xf>
    <xf numFmtId="179" fontId="0" fillId="0" borderId="65" xfId="0" applyNumberFormat="1" applyBorder="1" applyAlignment="1" applyProtection="1">
      <alignment/>
      <protection/>
    </xf>
    <xf numFmtId="1" fontId="0" fillId="6" borderId="99" xfId="0" applyNumberFormat="1" applyFill="1" applyBorder="1" applyAlignment="1" applyProtection="1">
      <alignment horizontal="center"/>
      <protection/>
    </xf>
    <xf numFmtId="43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1" fillId="0" borderId="0" xfId="0" applyNumberFormat="1" applyFont="1" applyFill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179" fontId="1" fillId="0" borderId="19" xfId="0" applyNumberFormat="1" applyFont="1" applyBorder="1" applyAlignment="1" applyProtection="1">
      <alignment/>
      <protection/>
    </xf>
    <xf numFmtId="179" fontId="1" fillId="0" borderId="57" xfId="0" applyNumberFormat="1" applyFont="1" applyBorder="1" applyAlignment="1" applyProtection="1">
      <alignment/>
      <protection/>
    </xf>
    <xf numFmtId="43" fontId="1" fillId="0" borderId="57" xfId="0" applyNumberFormat="1" applyFont="1" applyBorder="1" applyAlignment="1" applyProtection="1">
      <alignment/>
      <protection/>
    </xf>
    <xf numFmtId="43" fontId="0" fillId="0" borderId="23" xfId="0" applyNumberFormat="1" applyBorder="1" applyAlignment="1" applyProtection="1">
      <alignment/>
      <protection/>
    </xf>
    <xf numFmtId="0" fontId="15" fillId="0" borderId="41" xfId="0" applyFont="1" applyBorder="1" applyAlignment="1" applyProtection="1">
      <alignment horizontal="right"/>
      <protection/>
    </xf>
    <xf numFmtId="179" fontId="1" fillId="0" borderId="57" xfId="0" applyNumberFormat="1" applyFont="1" applyBorder="1" applyAlignment="1" applyProtection="1">
      <alignment horizontal="center" wrapText="1"/>
      <protection/>
    </xf>
    <xf numFmtId="0" fontId="0" fillId="5" borderId="17" xfId="0" applyFill="1" applyBorder="1" applyAlignment="1" applyProtection="1">
      <alignment/>
      <protection locked="0"/>
    </xf>
    <xf numFmtId="0" fontId="0" fillId="5" borderId="79" xfId="0" applyFill="1" applyBorder="1" applyAlignment="1" applyProtection="1">
      <alignment/>
      <protection locked="0"/>
    </xf>
    <xf numFmtId="0" fontId="1" fillId="6" borderId="0" xfId="0" applyFont="1" applyFill="1" applyBorder="1" applyAlignment="1" applyProtection="1">
      <alignment/>
      <protection/>
    </xf>
    <xf numFmtId="1" fontId="0" fillId="5" borderId="14" xfId="0" applyNumberFormat="1" applyFill="1" applyBorder="1" applyAlignment="1" applyProtection="1">
      <alignment/>
      <protection locked="0"/>
    </xf>
    <xf numFmtId="167" fontId="0" fillId="6" borderId="14" xfId="17" applyFill="1" applyBorder="1" applyAlignment="1" applyProtection="1">
      <alignment/>
      <protection/>
    </xf>
    <xf numFmtId="167" fontId="0" fillId="5" borderId="14" xfId="17" applyFill="1" applyBorder="1" applyAlignment="1" applyProtection="1">
      <alignment/>
      <protection locked="0"/>
    </xf>
    <xf numFmtId="0" fontId="0" fillId="5" borderId="14" xfId="0" applyFont="1" applyFill="1" applyBorder="1" applyAlignment="1" applyProtection="1">
      <alignment/>
      <protection locked="0"/>
    </xf>
    <xf numFmtId="43" fontId="0" fillId="6" borderId="14" xfId="0" applyNumberFormat="1" applyFill="1" applyBorder="1" applyAlignment="1" applyProtection="1">
      <alignment/>
      <protection/>
    </xf>
    <xf numFmtId="0" fontId="0" fillId="6" borderId="83" xfId="0" applyFill="1" applyBorder="1" applyAlignment="1" applyProtection="1">
      <alignment/>
      <protection locked="0"/>
    </xf>
    <xf numFmtId="2" fontId="0" fillId="6" borderId="69" xfId="0" applyNumberFormat="1" applyFill="1" applyBorder="1" applyAlignment="1" applyProtection="1">
      <alignment/>
      <protection/>
    </xf>
    <xf numFmtId="2" fontId="0" fillId="6" borderId="8" xfId="0" applyNumberFormat="1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 locked="0"/>
    </xf>
    <xf numFmtId="167" fontId="0" fillId="6" borderId="121" xfId="17" applyFill="1" applyBorder="1" applyAlignment="1" applyProtection="1">
      <alignment/>
      <protection/>
    </xf>
    <xf numFmtId="167" fontId="1" fillId="6" borderId="122" xfId="17" applyFont="1" applyFill="1" applyBorder="1" applyAlignment="1" applyProtection="1">
      <alignment/>
      <protection/>
    </xf>
    <xf numFmtId="167" fontId="1" fillId="6" borderId="123" xfId="17" applyFont="1" applyFill="1" applyBorder="1" applyAlignment="1" applyProtection="1">
      <alignment/>
      <protection/>
    </xf>
    <xf numFmtId="10" fontId="0" fillId="6" borderId="72" xfId="22" applyNumberFormat="1" applyFill="1" applyBorder="1" applyAlignment="1" applyProtection="1">
      <alignment/>
      <protection/>
    </xf>
    <xf numFmtId="165" fontId="0" fillId="5" borderId="124" xfId="17" applyNumberFormat="1" applyFill="1" applyBorder="1" applyAlignment="1" applyProtection="1">
      <alignment/>
      <protection locked="0"/>
    </xf>
    <xf numFmtId="9" fontId="0" fillId="5" borderId="42" xfId="17" applyNumberFormat="1" applyFill="1" applyBorder="1" applyAlignment="1" applyProtection="1">
      <alignment/>
      <protection locked="0"/>
    </xf>
    <xf numFmtId="38" fontId="0" fillId="5" borderId="124" xfId="15" applyNumberFormat="1" applyFill="1" applyBorder="1" applyAlignment="1" applyProtection="1" quotePrefix="1">
      <alignment/>
      <protection locked="0"/>
    </xf>
    <xf numFmtId="165" fontId="0" fillId="5" borderId="42" xfId="17" applyNumberFormat="1" applyFill="1" applyBorder="1" applyAlignment="1" applyProtection="1" quotePrefix="1">
      <alignment/>
      <protection locked="0"/>
    </xf>
    <xf numFmtId="9" fontId="0" fillId="5" borderId="124" xfId="22" applyFill="1" applyBorder="1" applyAlignment="1" applyProtection="1">
      <alignment/>
      <protection locked="0"/>
    </xf>
    <xf numFmtId="9" fontId="0" fillId="5" borderId="42" xfId="22" applyFill="1" applyBorder="1" applyAlignment="1" applyProtection="1">
      <alignment/>
      <protection locked="0"/>
    </xf>
    <xf numFmtId="9" fontId="0" fillId="5" borderId="22" xfId="22" applyFill="1" applyBorder="1" applyAlignment="1" applyProtection="1">
      <alignment/>
      <protection locked="0"/>
    </xf>
    <xf numFmtId="165" fontId="0" fillId="6" borderId="96" xfId="17" applyNumberFormat="1" applyFont="1" applyFill="1" applyBorder="1" applyAlignment="1" applyProtection="1">
      <alignment/>
      <protection/>
    </xf>
    <xf numFmtId="165" fontId="0" fillId="6" borderId="97" xfId="17" applyNumberFormat="1" applyFont="1" applyFill="1" applyBorder="1" applyAlignment="1" applyProtection="1">
      <alignment/>
      <protection/>
    </xf>
    <xf numFmtId="165" fontId="0" fillId="6" borderId="100" xfId="17" applyNumberFormat="1" applyFont="1" applyFill="1" applyBorder="1" applyAlignment="1" applyProtection="1">
      <alignment/>
      <protection/>
    </xf>
    <xf numFmtId="165" fontId="0" fillId="6" borderId="94" xfId="17" applyNumberFormat="1" applyFont="1" applyFill="1" applyBorder="1" applyAlignment="1" applyProtection="1">
      <alignment/>
      <protection/>
    </xf>
    <xf numFmtId="165" fontId="0" fillId="6" borderId="96" xfId="17" applyNumberFormat="1" applyFont="1" applyFill="1" applyBorder="1" applyAlignment="1" applyProtection="1">
      <alignment horizontal="right"/>
      <protection/>
    </xf>
    <xf numFmtId="165" fontId="0" fillId="6" borderId="97" xfId="17" applyNumberFormat="1" applyFont="1" applyFill="1" applyBorder="1" applyAlignment="1" applyProtection="1">
      <alignment horizontal="right"/>
      <protection/>
    </xf>
    <xf numFmtId="165" fontId="0" fillId="6" borderId="100" xfId="17" applyNumberFormat="1" applyFont="1" applyFill="1" applyBorder="1" applyAlignment="1" applyProtection="1">
      <alignment horizontal="right"/>
      <protection/>
    </xf>
    <xf numFmtId="177" fontId="0" fillId="6" borderId="96" xfId="22" applyNumberFormat="1" applyFont="1" applyFill="1" applyBorder="1" applyAlignment="1" applyProtection="1">
      <alignment/>
      <protection/>
    </xf>
    <xf numFmtId="177" fontId="0" fillId="6" borderId="97" xfId="22" applyNumberFormat="1" applyFont="1" applyFill="1" applyBorder="1" applyAlignment="1" applyProtection="1">
      <alignment/>
      <protection/>
    </xf>
    <xf numFmtId="177" fontId="0" fillId="6" borderId="100" xfId="22" applyNumberFormat="1" applyFont="1" applyFill="1" applyBorder="1" applyAlignment="1" applyProtection="1">
      <alignment/>
      <protection/>
    </xf>
    <xf numFmtId="177" fontId="0" fillId="6" borderId="99" xfId="22" applyNumberFormat="1" applyFill="1" applyBorder="1" applyAlignment="1" applyProtection="1">
      <alignment/>
      <protection/>
    </xf>
    <xf numFmtId="177" fontId="0" fillId="6" borderId="94" xfId="22" applyNumberFormat="1" applyFont="1" applyFill="1" applyBorder="1" applyAlignment="1" applyProtection="1">
      <alignment/>
      <protection/>
    </xf>
    <xf numFmtId="177" fontId="0" fillId="6" borderId="105" xfId="22" applyNumberFormat="1" applyFill="1" applyBorder="1" applyAlignment="1" applyProtection="1">
      <alignment/>
      <protection/>
    </xf>
    <xf numFmtId="177" fontId="0" fillId="6" borderId="104" xfId="22" applyNumberFormat="1" applyFill="1" applyBorder="1" applyAlignment="1" applyProtection="1">
      <alignment/>
      <protection/>
    </xf>
    <xf numFmtId="165" fontId="0" fillId="6" borderId="104" xfId="17" applyNumberFormat="1" applyFont="1" applyFill="1" applyBorder="1" applyAlignment="1" applyProtection="1">
      <alignment/>
      <protection/>
    </xf>
    <xf numFmtId="165" fontId="1" fillId="6" borderId="105" xfId="17" applyNumberFormat="1" applyFont="1" applyFill="1" applyBorder="1" applyAlignment="1" applyProtection="1">
      <alignment/>
      <protection/>
    </xf>
    <xf numFmtId="165" fontId="0" fillId="6" borderId="105" xfId="17" applyNumberFormat="1" applyFont="1" applyFill="1" applyBorder="1" applyAlignment="1" applyProtection="1">
      <alignment horizontal="right"/>
      <protection/>
    </xf>
    <xf numFmtId="0" fontId="10" fillId="6" borderId="51" xfId="0" applyFont="1" applyFill="1" applyBorder="1" applyAlignment="1" applyProtection="1">
      <alignment/>
      <protection/>
    </xf>
    <xf numFmtId="0" fontId="10" fillId="6" borderId="93" xfId="0" applyFont="1" applyFill="1" applyBorder="1" applyAlignment="1" applyProtection="1">
      <alignment/>
      <protection/>
    </xf>
    <xf numFmtId="172" fontId="1" fillId="6" borderId="74" xfId="0" applyNumberFormat="1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1" fillId="6" borderId="73" xfId="0" applyFont="1" applyFill="1" applyBorder="1" applyAlignment="1">
      <alignment/>
    </xf>
    <xf numFmtId="166" fontId="1" fillId="6" borderId="74" xfId="0" applyNumberFormat="1" applyFont="1" applyFill="1" applyBorder="1" applyAlignment="1" applyProtection="1">
      <alignment/>
      <protection/>
    </xf>
    <xf numFmtId="166" fontId="1" fillId="6" borderId="125" xfId="0" applyNumberFormat="1" applyFont="1" applyFill="1" applyBorder="1" applyAlignment="1">
      <alignment/>
    </xf>
    <xf numFmtId="166" fontId="1" fillId="6" borderId="126" xfId="0" applyNumberFormat="1" applyFont="1" applyFill="1" applyBorder="1" applyAlignment="1">
      <alignment/>
    </xf>
    <xf numFmtId="167" fontId="1" fillId="6" borderId="87" xfId="17" applyFont="1" applyFill="1" applyBorder="1" applyAlignment="1">
      <alignment/>
    </xf>
    <xf numFmtId="172" fontId="0" fillId="5" borderId="127" xfId="0" applyNumberFormat="1" applyFont="1" applyFill="1" applyBorder="1" applyAlignment="1" applyProtection="1">
      <alignment/>
      <protection locked="0"/>
    </xf>
    <xf numFmtId="167" fontId="0" fillId="5" borderId="128" xfId="17" applyNumberFormat="1" applyFill="1" applyBorder="1" applyAlignment="1" applyProtection="1">
      <alignment/>
      <protection locked="0"/>
    </xf>
    <xf numFmtId="167" fontId="0" fillId="5" borderId="18" xfId="17" applyNumberFormat="1" applyFont="1" applyFill="1" applyBorder="1" applyAlignment="1" applyProtection="1">
      <alignment/>
      <protection locked="0"/>
    </xf>
    <xf numFmtId="167" fontId="0" fillId="5" borderId="14" xfId="17" applyNumberFormat="1" applyFill="1" applyBorder="1" applyAlignment="1" applyProtection="1">
      <alignment/>
      <protection locked="0"/>
    </xf>
    <xf numFmtId="167" fontId="0" fillId="5" borderId="11" xfId="17" applyFill="1" applyBorder="1" applyAlignment="1" applyProtection="1">
      <alignment/>
      <protection locked="0"/>
    </xf>
    <xf numFmtId="165" fontId="0" fillId="6" borderId="15" xfId="17" applyNumberFormat="1" applyFill="1" applyBorder="1" applyAlignment="1" applyProtection="1">
      <alignment/>
      <protection/>
    </xf>
    <xf numFmtId="177" fontId="0" fillId="6" borderId="15" xfId="0" applyNumberFormat="1" applyFill="1" applyBorder="1" applyAlignment="1" applyProtection="1">
      <alignment/>
      <protection/>
    </xf>
    <xf numFmtId="167" fontId="1" fillId="6" borderId="15" xfId="17" applyFont="1" applyFill="1" applyBorder="1" applyAlignment="1" applyProtection="1">
      <alignment/>
      <protection/>
    </xf>
    <xf numFmtId="167" fontId="1" fillId="6" borderId="25" xfId="17" applyFont="1" applyFill="1" applyBorder="1" applyAlignment="1" applyProtection="1">
      <alignment/>
      <protection/>
    </xf>
    <xf numFmtId="2" fontId="1" fillId="6" borderId="15" xfId="0" applyNumberFormat="1" applyFont="1" applyFill="1" applyBorder="1" applyAlignment="1" applyProtection="1">
      <alignment/>
      <protection/>
    </xf>
    <xf numFmtId="167" fontId="1" fillId="6" borderId="18" xfId="17" applyFont="1" applyFill="1" applyBorder="1" applyAlignment="1" applyProtection="1">
      <alignment/>
      <protection/>
    </xf>
    <xf numFmtId="2" fontId="0" fillId="5" borderId="11" xfId="0" applyNumberFormat="1" applyFill="1" applyBorder="1" applyAlignment="1" applyProtection="1">
      <alignment horizontal="right"/>
      <protection/>
    </xf>
    <xf numFmtId="0" fontId="7" fillId="6" borderId="129" xfId="0" applyFont="1" applyFill="1" applyBorder="1" applyAlignment="1">
      <alignment horizontal="center"/>
    </xf>
    <xf numFmtId="0" fontId="0" fillId="6" borderId="11" xfId="0" applyFill="1" applyBorder="1" applyAlignment="1">
      <alignment horizontal="right"/>
    </xf>
    <xf numFmtId="167" fontId="0" fillId="6" borderId="22" xfId="17" applyFill="1" applyBorder="1" applyAlignment="1">
      <alignment/>
    </xf>
    <xf numFmtId="167" fontId="1" fillId="6" borderId="22" xfId="17" applyFont="1" applyFill="1" applyBorder="1" applyAlignment="1">
      <alignment/>
    </xf>
    <xf numFmtId="4" fontId="0" fillId="6" borderId="22" xfId="0" applyNumberFormat="1" applyFill="1" applyBorder="1" applyAlignment="1">
      <alignment/>
    </xf>
    <xf numFmtId="0" fontId="1" fillId="6" borderId="17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2" fontId="0" fillId="6" borderId="87" xfId="0" applyNumberFormat="1" applyFill="1" applyBorder="1" applyAlignment="1">
      <alignment/>
    </xf>
    <xf numFmtId="0" fontId="1" fillId="6" borderId="61" xfId="0" applyFont="1" applyFill="1" applyBorder="1" applyAlignment="1">
      <alignment/>
    </xf>
    <xf numFmtId="9" fontId="0" fillId="5" borderId="27" xfId="22" applyFill="1" applyBorder="1" applyAlignment="1">
      <alignment horizontal="right"/>
    </xf>
    <xf numFmtId="9" fontId="0" fillId="5" borderId="42" xfId="22" applyFill="1" applyBorder="1" applyAlignment="1">
      <alignment horizontal="right"/>
    </xf>
    <xf numFmtId="9" fontId="0" fillId="5" borderId="87" xfId="22" applyFill="1" applyBorder="1" applyAlignment="1">
      <alignment horizontal="right"/>
    </xf>
    <xf numFmtId="165" fontId="0" fillId="6" borderId="130" xfId="17" applyNumberFormat="1" applyFill="1" applyBorder="1" applyAlignment="1">
      <alignment horizontal="right"/>
    </xf>
    <xf numFmtId="165" fontId="0" fillId="6" borderId="131" xfId="17" applyNumberFormat="1" applyFill="1" applyBorder="1" applyAlignment="1">
      <alignment horizontal="right"/>
    </xf>
    <xf numFmtId="167" fontId="0" fillId="6" borderId="27" xfId="17" applyFill="1" applyBorder="1" applyAlignment="1">
      <alignment horizontal="right"/>
    </xf>
    <xf numFmtId="167" fontId="0" fillId="6" borderId="87" xfId="17" applyFill="1" applyBorder="1" applyAlignment="1" applyProtection="1">
      <alignment horizontal="right"/>
      <protection/>
    </xf>
    <xf numFmtId="167" fontId="1" fillId="6" borderId="0" xfId="17" applyFont="1" applyFill="1" applyBorder="1" applyAlignment="1">
      <alignment horizontal="right"/>
    </xf>
    <xf numFmtId="167" fontId="1" fillId="6" borderId="72" xfId="17" applyFont="1" applyFill="1" applyBorder="1" applyAlignment="1">
      <alignment horizontal="right"/>
    </xf>
    <xf numFmtId="38" fontId="0" fillId="5" borderId="17" xfId="15" applyNumberFormat="1" applyFill="1" applyBorder="1" applyAlignment="1" applyProtection="1">
      <alignment horizontal="right"/>
      <protection locked="0"/>
    </xf>
    <xf numFmtId="38" fontId="0" fillId="5" borderId="49" xfId="15" applyNumberFormat="1" applyFill="1" applyBorder="1" applyAlignment="1" applyProtection="1">
      <alignment horizontal="right"/>
      <protection locked="0"/>
    </xf>
    <xf numFmtId="38" fontId="0" fillId="5" borderId="17" xfId="15" applyNumberFormat="1" applyFill="1" applyBorder="1" applyAlignment="1" applyProtection="1" quotePrefix="1">
      <alignment horizontal="right"/>
      <protection locked="0"/>
    </xf>
    <xf numFmtId="38" fontId="0" fillId="5" borderId="49" xfId="15" applyNumberFormat="1" applyFill="1" applyBorder="1" applyAlignment="1" applyProtection="1" quotePrefix="1">
      <alignment horizontal="right"/>
      <protection locked="0"/>
    </xf>
    <xf numFmtId="167" fontId="0" fillId="5" borderId="49" xfId="17" applyNumberFormat="1" applyFill="1" applyBorder="1" applyAlignment="1" applyProtection="1" quotePrefix="1">
      <alignment horizontal="right"/>
      <protection locked="0"/>
    </xf>
    <xf numFmtId="167" fontId="0" fillId="5" borderId="49" xfId="17" applyNumberFormat="1" applyFill="1" applyBorder="1" applyAlignment="1" applyProtection="1">
      <alignment horizontal="right"/>
      <protection locked="0"/>
    </xf>
    <xf numFmtId="167" fontId="0" fillId="5" borderId="17" xfId="17" applyNumberFormat="1" applyFill="1" applyBorder="1" applyAlignment="1" applyProtection="1">
      <alignment horizontal="right"/>
      <protection locked="0"/>
    </xf>
    <xf numFmtId="167" fontId="0" fillId="5" borderId="17" xfId="17" applyNumberFormat="1" applyFill="1" applyBorder="1" applyAlignment="1" applyProtection="1" quotePrefix="1">
      <alignment horizontal="right"/>
      <protection locked="0"/>
    </xf>
    <xf numFmtId="0" fontId="0" fillId="3" borderId="72" xfId="0" applyFill="1" applyBorder="1" applyAlignment="1">
      <alignment horizontal="right"/>
    </xf>
    <xf numFmtId="0" fontId="0" fillId="5" borderId="11" xfId="0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9" fontId="0" fillId="5" borderId="11" xfId="0" applyNumberFormat="1" applyFill="1" applyBorder="1" applyAlignment="1" applyProtection="1">
      <alignment/>
      <protection locked="0"/>
    </xf>
    <xf numFmtId="177" fontId="0" fillId="5" borderId="11" xfId="0" applyNumberFormat="1" applyFill="1" applyBorder="1" applyAlignment="1" applyProtection="1">
      <alignment/>
      <protection locked="0"/>
    </xf>
    <xf numFmtId="0" fontId="4" fillId="6" borderId="62" xfId="0" applyFont="1" applyFill="1" applyBorder="1" applyAlignment="1" applyProtection="1">
      <alignment horizontal="center" vertical="top" wrapText="1"/>
      <protection/>
    </xf>
    <xf numFmtId="0" fontId="4" fillId="6" borderId="53" xfId="0" applyFont="1" applyFill="1" applyBorder="1" applyAlignment="1" applyProtection="1">
      <alignment horizontal="right" vertical="top" wrapText="1"/>
      <protection/>
    </xf>
    <xf numFmtId="0" fontId="1" fillId="6" borderId="104" xfId="0" applyFont="1" applyFill="1" applyBorder="1" applyAlignment="1" applyProtection="1">
      <alignment horizontal="right" vertical="top" wrapText="1"/>
      <protection/>
    </xf>
    <xf numFmtId="167" fontId="0" fillId="6" borderId="11" xfId="17" applyFill="1" applyBorder="1" applyAlignment="1">
      <alignment/>
    </xf>
    <xf numFmtId="167" fontId="0" fillId="6" borderId="22" xfId="17" applyFill="1" applyBorder="1" applyAlignment="1" applyProtection="1">
      <alignment/>
      <protection locked="0"/>
    </xf>
    <xf numFmtId="167" fontId="0" fillId="6" borderId="22" xfId="17" applyFont="1" applyFill="1" applyBorder="1" applyAlignment="1">
      <alignment/>
    </xf>
    <xf numFmtId="167" fontId="1" fillId="6" borderId="132" xfId="17" applyFont="1" applyFill="1" applyBorder="1" applyAlignment="1">
      <alignment/>
    </xf>
    <xf numFmtId="167" fontId="1" fillId="6" borderId="105" xfId="17" applyFont="1" applyFill="1" applyBorder="1" applyAlignment="1">
      <alignment/>
    </xf>
    <xf numFmtId="167" fontId="1" fillId="6" borderId="40" xfId="17" applyFont="1" applyFill="1" applyBorder="1" applyAlignment="1">
      <alignment/>
    </xf>
    <xf numFmtId="0" fontId="0" fillId="5" borderId="45" xfId="0" applyFill="1" applyBorder="1" applyAlignment="1" applyProtection="1">
      <alignment/>
      <protection locked="0"/>
    </xf>
    <xf numFmtId="0" fontId="4" fillId="6" borderId="133" xfId="0" applyFont="1" applyFill="1" applyBorder="1" applyAlignment="1" applyProtection="1">
      <alignment horizontal="center" vertical="top" wrapText="1"/>
      <protection/>
    </xf>
    <xf numFmtId="0" fontId="0" fillId="6" borderId="53" xfId="0" applyFill="1" applyBorder="1" applyAlignment="1" applyProtection="1">
      <alignment horizontal="center" vertical="top" wrapText="1"/>
      <protection/>
    </xf>
    <xf numFmtId="0" fontId="10" fillId="6" borderId="52" xfId="0" applyFont="1" applyFill="1" applyBorder="1" applyAlignment="1" applyProtection="1">
      <alignment horizontal="center"/>
      <protection/>
    </xf>
    <xf numFmtId="0" fontId="10" fillId="6" borderId="51" xfId="0" applyFont="1" applyFill="1" applyBorder="1" applyAlignment="1" applyProtection="1">
      <alignment horizontal="center"/>
      <protection/>
    </xf>
    <xf numFmtId="0" fontId="10" fillId="6" borderId="93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5" borderId="70" xfId="0" applyFont="1" applyFill="1" applyBorder="1" applyAlignment="1" applyProtection="1">
      <alignment horizontal="center"/>
      <protection locked="0"/>
    </xf>
    <xf numFmtId="0" fontId="1" fillId="5" borderId="71" xfId="0" applyFon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72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1" fillId="5" borderId="73" xfId="0" applyFont="1" applyFill="1" applyBorder="1" applyAlignment="1" applyProtection="1">
      <alignment horizontal="center"/>
      <protection locked="0"/>
    </xf>
    <xf numFmtId="0" fontId="1" fillId="5" borderId="74" xfId="0" applyFont="1" applyFill="1" applyBorder="1" applyAlignment="1" applyProtection="1">
      <alignment horizontal="center"/>
      <protection locked="0"/>
    </xf>
    <xf numFmtId="0" fontId="0" fillId="5" borderId="55" xfId="0" applyFill="1" applyBorder="1" applyAlignment="1" applyProtection="1">
      <alignment/>
      <protection locked="0"/>
    </xf>
    <xf numFmtId="0" fontId="0" fillId="5" borderId="76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47" xfId="0" applyFill="1" applyBorder="1" applyAlignment="1" applyProtection="1">
      <alignment/>
      <protection locked="0"/>
    </xf>
    <xf numFmtId="0" fontId="0" fillId="5" borderId="17" xfId="0" applyFont="1" applyFill="1" applyBorder="1" applyAlignment="1" applyProtection="1">
      <alignment horizontal="center"/>
      <protection locked="0"/>
    </xf>
    <xf numFmtId="0" fontId="0" fillId="5" borderId="23" xfId="0" applyFont="1" applyFill="1" applyBorder="1" applyAlignment="1" applyProtection="1">
      <alignment horizontal="center"/>
      <protection locked="0"/>
    </xf>
    <xf numFmtId="0" fontId="1" fillId="5" borderId="45" xfId="0" applyFont="1" applyFill="1" applyBorder="1" applyAlignment="1" applyProtection="1">
      <alignment/>
      <protection locked="0"/>
    </xf>
    <xf numFmtId="0" fontId="1" fillId="5" borderId="47" xfId="0" applyFont="1" applyFill="1" applyBorder="1" applyAlignment="1" applyProtection="1">
      <alignment/>
      <protection locked="0"/>
    </xf>
    <xf numFmtId="0" fontId="0" fillId="5" borderId="61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57" xfId="0" applyFill="1" applyBorder="1" applyAlignment="1" applyProtection="1">
      <alignment/>
      <protection locked="0"/>
    </xf>
    <xf numFmtId="165" fontId="0" fillId="5" borderId="17" xfId="17" applyNumberFormat="1" applyFont="1" applyFill="1" applyBorder="1" applyAlignment="1" applyProtection="1">
      <alignment horizontal="right"/>
      <protection locked="0"/>
    </xf>
    <xf numFmtId="165" fontId="0" fillId="5" borderId="23" xfId="17" applyNumberFormat="1" applyFont="1" applyFill="1" applyBorder="1" applyAlignment="1" applyProtection="1">
      <alignment horizontal="right"/>
      <protection locked="0"/>
    </xf>
    <xf numFmtId="165" fontId="0" fillId="5" borderId="86" xfId="17" applyNumberFormat="1" applyFill="1" applyBorder="1" applyAlignment="1" applyProtection="1">
      <alignment horizontal="right"/>
      <protection locked="0"/>
    </xf>
    <xf numFmtId="165" fontId="0" fillId="5" borderId="134" xfId="17" applyNumberFormat="1" applyFill="1" applyBorder="1" applyAlignment="1" applyProtection="1">
      <alignment horizontal="right"/>
      <protection locked="0"/>
    </xf>
    <xf numFmtId="0" fontId="0" fillId="5" borderId="86" xfId="0" applyFill="1" applyBorder="1" applyAlignment="1" applyProtection="1">
      <alignment horizontal="center"/>
      <protection locked="0"/>
    </xf>
    <xf numFmtId="0" fontId="0" fillId="5" borderId="134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67" fontId="0" fillId="5" borderId="17" xfId="17" applyNumberFormat="1" applyFill="1" applyBorder="1" applyAlignment="1" applyProtection="1">
      <alignment/>
      <protection locked="0"/>
    </xf>
    <xf numFmtId="167" fontId="0" fillId="5" borderId="23" xfId="0" applyNumberFormat="1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73" xfId="0" applyFill="1" applyBorder="1" applyAlignment="1" applyProtection="1">
      <alignment/>
      <protection locked="0"/>
    </xf>
    <xf numFmtId="0" fontId="0" fillId="5" borderId="134" xfId="0" applyFill="1" applyBorder="1" applyAlignment="1" applyProtection="1">
      <alignment/>
      <protection locked="0"/>
    </xf>
    <xf numFmtId="167" fontId="0" fillId="5" borderId="17" xfId="17" applyNumberFormat="1" applyFont="1" applyFill="1" applyBorder="1" applyAlignment="1" applyProtection="1">
      <alignment horizontal="right"/>
      <protection locked="0"/>
    </xf>
    <xf numFmtId="167" fontId="0" fillId="5" borderId="23" xfId="17" applyNumberFormat="1" applyFont="1" applyFill="1" applyBorder="1" applyAlignment="1" applyProtection="1">
      <alignment horizontal="right"/>
      <protection locked="0"/>
    </xf>
    <xf numFmtId="0" fontId="0" fillId="6" borderId="11" xfId="0" applyFont="1" applyFill="1" applyBorder="1" applyAlignment="1">
      <alignment horizontal="center" vertical="top" wrapText="1"/>
    </xf>
    <xf numFmtId="0" fontId="0" fillId="6" borderId="11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vertical="top"/>
    </xf>
    <xf numFmtId="0" fontId="0" fillId="5" borderId="103" xfId="0" applyFill="1" applyBorder="1" applyAlignment="1" applyProtection="1">
      <alignment/>
      <protection locked="0"/>
    </xf>
    <xf numFmtId="0" fontId="0" fillId="5" borderId="59" xfId="0" applyFill="1" applyBorder="1" applyAlignment="1" applyProtection="1">
      <alignment/>
      <protection locked="0"/>
    </xf>
    <xf numFmtId="0" fontId="0" fillId="5" borderId="106" xfId="0" applyFill="1" applyBorder="1" applyAlignment="1" applyProtection="1">
      <alignment/>
      <protection locked="0"/>
    </xf>
    <xf numFmtId="167" fontId="0" fillId="5" borderId="23" xfId="0" applyNumberFormat="1" applyFill="1" applyBorder="1" applyAlignment="1" applyProtection="1">
      <alignment/>
      <protection locked="0"/>
    </xf>
    <xf numFmtId="0" fontId="0" fillId="6" borderId="61" xfId="0" applyFont="1" applyFill="1" applyBorder="1" applyAlignment="1">
      <alignment vertical="top"/>
    </xf>
    <xf numFmtId="0" fontId="0" fillId="6" borderId="10" xfId="0" applyFont="1" applyFill="1" applyBorder="1" applyAlignment="1">
      <alignment/>
    </xf>
    <xf numFmtId="0" fontId="0" fillId="6" borderId="57" xfId="0" applyFont="1" applyFill="1" applyBorder="1" applyAlignment="1">
      <alignment/>
    </xf>
    <xf numFmtId="0" fontId="0" fillId="5" borderId="23" xfId="0" applyFill="1" applyBorder="1" applyAlignment="1" applyProtection="1">
      <alignment/>
      <protection locked="0"/>
    </xf>
    <xf numFmtId="0" fontId="10" fillId="6" borderId="52" xfId="20" applyFont="1" applyFill="1" applyBorder="1" applyAlignment="1" applyProtection="1">
      <alignment horizontal="center"/>
      <protection/>
    </xf>
    <xf numFmtId="0" fontId="10" fillId="6" borderId="51" xfId="20" applyFont="1" applyFill="1" applyBorder="1" applyAlignment="1" applyProtection="1">
      <alignment horizontal="center"/>
      <protection/>
    </xf>
    <xf numFmtId="0" fontId="10" fillId="6" borderId="93" xfId="20" applyFont="1" applyFill="1" applyBorder="1" applyAlignment="1" applyProtection="1">
      <alignment horizontal="center"/>
      <protection/>
    </xf>
    <xf numFmtId="0" fontId="0" fillId="5" borderId="2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1" xfId="0" applyFill="1" applyBorder="1" applyAlignment="1" applyProtection="1">
      <alignment/>
      <protection/>
    </xf>
    <xf numFmtId="0" fontId="17" fillId="6" borderId="102" xfId="0" applyFont="1" applyFill="1" applyBorder="1" applyAlignment="1">
      <alignment horizontal="center"/>
    </xf>
    <xf numFmtId="0" fontId="17" fillId="6" borderId="107" xfId="0" applyFont="1" applyFill="1" applyBorder="1" applyAlignment="1">
      <alignment horizontal="center"/>
    </xf>
    <xf numFmtId="0" fontId="17" fillId="6" borderId="11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OPERATING COSTS" xfId="19"/>
    <cellStyle name="Normal_OPERATING COSTS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EFCC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75" zoomScaleNormal="75" workbookViewId="0" topLeftCell="A1">
      <selection activeCell="A13" sqref="A13"/>
    </sheetView>
  </sheetViews>
  <sheetFormatPr defaultColWidth="9.140625" defaultRowHeight="12.75"/>
  <cols>
    <col min="1" max="1" width="23.421875" style="0" customWidth="1"/>
    <col min="11" max="11" width="24.8515625" style="0" customWidth="1"/>
  </cols>
  <sheetData>
    <row r="1" spans="1:6" ht="13.5" thickTop="1">
      <c r="A1" s="1" t="s">
        <v>0</v>
      </c>
      <c r="B1" s="2"/>
      <c r="C1" s="2"/>
      <c r="D1" s="3"/>
      <c r="F1" t="s">
        <v>1</v>
      </c>
    </row>
    <row r="2" spans="1:6" ht="13.5" thickBot="1">
      <c r="A2" s="5" t="s">
        <v>2</v>
      </c>
      <c r="B2" s="6"/>
      <c r="C2" s="6"/>
      <c r="D2" s="7"/>
      <c r="F2" t="s">
        <v>3</v>
      </c>
    </row>
    <row r="3" ht="13.5" thickTop="1">
      <c r="F3" t="s">
        <v>4</v>
      </c>
    </row>
    <row r="4" spans="1:5" ht="24" thickBot="1">
      <c r="A4" s="200" t="s">
        <v>5</v>
      </c>
      <c r="E4" t="s">
        <v>6</v>
      </c>
    </row>
    <row r="5" spans="1:9" ht="12.75">
      <c r="A5" s="202"/>
      <c r="B5" s="203"/>
      <c r="C5" s="203"/>
      <c r="D5" s="203"/>
      <c r="E5" s="203"/>
      <c r="F5" s="203"/>
      <c r="G5" s="203"/>
      <c r="H5" s="203"/>
      <c r="I5" s="204"/>
    </row>
    <row r="6" spans="1:9" ht="38.25">
      <c r="A6" s="205" t="s">
        <v>7</v>
      </c>
      <c r="B6" s="206" t="s">
        <v>8</v>
      </c>
      <c r="C6" s="206" t="s">
        <v>9</v>
      </c>
      <c r="D6" s="206" t="s">
        <v>10</v>
      </c>
      <c r="E6" s="51"/>
      <c r="F6" s="51"/>
      <c r="G6" s="51"/>
      <c r="H6" s="51"/>
      <c r="I6" s="207"/>
    </row>
    <row r="7" spans="1:9" ht="12.75">
      <c r="A7" s="87" t="s">
        <v>11</v>
      </c>
      <c r="B7" s="48" t="e">
        <f>(#REF!-(#REF!+#REF!))</f>
        <v>#REF!</v>
      </c>
      <c r="C7" s="201" t="e">
        <f>B7/$B$19%</f>
        <v>#REF!</v>
      </c>
      <c r="D7" s="51"/>
      <c r="E7" s="51"/>
      <c r="F7" s="51"/>
      <c r="G7" s="51"/>
      <c r="H7" s="51"/>
      <c r="I7" s="207"/>
    </row>
    <row r="8" spans="1:9" ht="12.75">
      <c r="A8" s="87" t="s">
        <v>12</v>
      </c>
      <c r="B8" s="48" t="e">
        <f>(#REF!)</f>
        <v>#REF!</v>
      </c>
      <c r="C8" s="201" t="e">
        <f aca="true" t="shared" si="0" ref="C8:C17">B8/$B$19%</f>
        <v>#REF!</v>
      </c>
      <c r="D8" s="51"/>
      <c r="E8" s="51"/>
      <c r="F8" s="51"/>
      <c r="G8" s="51"/>
      <c r="H8" s="51"/>
      <c r="I8" s="207"/>
    </row>
    <row r="9" spans="1:9" ht="12.75">
      <c r="A9" s="87" t="s">
        <v>13</v>
      </c>
      <c r="B9" s="48" t="e">
        <f>(#REF!)</f>
        <v>#REF!</v>
      </c>
      <c r="C9" s="201" t="e">
        <f t="shared" si="0"/>
        <v>#REF!</v>
      </c>
      <c r="D9" s="51"/>
      <c r="E9" s="51"/>
      <c r="F9" s="51"/>
      <c r="G9" s="51"/>
      <c r="H9" s="51"/>
      <c r="I9" s="207"/>
    </row>
    <row r="10" spans="1:9" ht="12.75">
      <c r="A10" s="87" t="s">
        <v>14</v>
      </c>
      <c r="B10" s="48" t="e">
        <f>'1. JOB COST SUMMARY'!#REF!</f>
        <v>#REF!</v>
      </c>
      <c r="C10" s="201" t="e">
        <f t="shared" si="0"/>
        <v>#REF!</v>
      </c>
      <c r="D10" s="51"/>
      <c r="E10" s="51"/>
      <c r="F10" s="51"/>
      <c r="G10" s="51"/>
      <c r="H10" s="51"/>
      <c r="I10" s="207"/>
    </row>
    <row r="11" spans="1:9" ht="12.75">
      <c r="A11" s="87" t="s">
        <v>15</v>
      </c>
      <c r="B11" s="48" t="e">
        <f>'1. JOB COST SUMMARY'!B76</f>
        <v>#REF!</v>
      </c>
      <c r="C11" s="201" t="e">
        <f t="shared" si="0"/>
        <v>#REF!</v>
      </c>
      <c r="D11" s="51"/>
      <c r="E11" s="51"/>
      <c r="F11" s="51"/>
      <c r="G11" s="51"/>
      <c r="H11" s="51"/>
      <c r="I11" s="207"/>
    </row>
    <row r="12" spans="1:9" ht="12.75">
      <c r="A12" s="87" t="s">
        <v>16</v>
      </c>
      <c r="B12" s="48" t="e">
        <f>'1. JOB COST SUMMARY'!#REF!+'1. JOB COST SUMMARY'!B70+'1. JOB COST SUMMARY'!B75</f>
        <v>#REF!</v>
      </c>
      <c r="C12" s="201" t="e">
        <f t="shared" si="0"/>
        <v>#REF!</v>
      </c>
      <c r="D12" s="51" t="s">
        <v>17</v>
      </c>
      <c r="E12" s="51"/>
      <c r="F12" s="51"/>
      <c r="G12" s="51"/>
      <c r="H12" s="51"/>
      <c r="I12" s="207"/>
    </row>
    <row r="13" spans="1:9" ht="12.75">
      <c r="A13" s="87" t="s">
        <v>18</v>
      </c>
      <c r="B13" s="48" t="e">
        <f>'1. JOB COST SUMMARY'!B79</f>
        <v>#REF!</v>
      </c>
      <c r="C13" s="201" t="e">
        <f t="shared" si="0"/>
        <v>#REF!</v>
      </c>
      <c r="D13" s="51"/>
      <c r="E13" s="51"/>
      <c r="F13" s="51"/>
      <c r="G13" s="51"/>
      <c r="H13" s="51"/>
      <c r="I13" s="207"/>
    </row>
    <row r="14" spans="1:9" ht="12.75">
      <c r="A14" s="87" t="s">
        <v>19</v>
      </c>
      <c r="B14" s="48" t="e">
        <f>'1. JOB COST SUMMARY'!B80</f>
        <v>#REF!</v>
      </c>
      <c r="C14" s="201" t="e">
        <f t="shared" si="0"/>
        <v>#REF!</v>
      </c>
      <c r="D14" s="51"/>
      <c r="E14" s="51"/>
      <c r="F14" s="51"/>
      <c r="G14" s="51"/>
      <c r="H14" s="51"/>
      <c r="I14" s="207"/>
    </row>
    <row r="15" spans="1:9" ht="12.75">
      <c r="A15" s="87" t="s">
        <v>20</v>
      </c>
      <c r="B15" s="48" t="e">
        <f>'8. OPERATING SUPPLIES'!D39+'9. OVERHEADS'!H29+'9. OVERHEADS'!H30+'1. JOB COST SUMMARY'!B73</f>
        <v>#REF!</v>
      </c>
      <c r="C15" s="201" t="e">
        <f t="shared" si="0"/>
        <v>#REF!</v>
      </c>
      <c r="D15" s="51"/>
      <c r="E15" s="51"/>
      <c r="F15" s="51"/>
      <c r="G15" s="51"/>
      <c r="H15" s="51"/>
      <c r="I15" s="207"/>
    </row>
    <row r="16" spans="1:9" ht="12.75">
      <c r="A16" s="87" t="s">
        <v>21</v>
      </c>
      <c r="B16" s="48" t="e">
        <f>'1. JOB COST SUMMARY'!B77</f>
        <v>#REF!</v>
      </c>
      <c r="C16" s="201" t="e">
        <f t="shared" si="0"/>
        <v>#REF!</v>
      </c>
      <c r="D16" s="51"/>
      <c r="E16" s="51"/>
      <c r="F16" s="51"/>
      <c r="G16" s="51"/>
      <c r="H16" s="51"/>
      <c r="I16" s="207"/>
    </row>
    <row r="17" spans="1:9" ht="12.75">
      <c r="A17" s="87" t="s">
        <v>22</v>
      </c>
      <c r="B17" s="48" t="e">
        <f>#REF!+'8. OPERATING SUPPLIES'!#REF!+('9. OVERHEADS'!H34-'9. OVERHEADS'!H30-'9. OVERHEADS'!H29)+'1. JOB COST SUMMARY'!F13</f>
        <v>#REF!</v>
      </c>
      <c r="C17" s="201" t="e">
        <f t="shared" si="0"/>
        <v>#REF!</v>
      </c>
      <c r="D17" s="51" t="s">
        <v>23</v>
      </c>
      <c r="E17" s="51"/>
      <c r="F17" s="51"/>
      <c r="G17" s="51"/>
      <c r="H17" s="51"/>
      <c r="I17" s="207"/>
    </row>
    <row r="18" spans="1:9" ht="12.75">
      <c r="A18" s="87"/>
      <c r="B18" s="88"/>
      <c r="C18" s="88"/>
      <c r="D18" s="51" t="s">
        <v>24</v>
      </c>
      <c r="E18" s="51"/>
      <c r="F18" s="51"/>
      <c r="G18" s="51"/>
      <c r="H18" s="51"/>
      <c r="I18" s="207"/>
    </row>
    <row r="19" spans="1:9" ht="12.75">
      <c r="A19" s="87" t="s">
        <v>25</v>
      </c>
      <c r="B19" s="48" t="e">
        <f>SUM(B7:B18)</f>
        <v>#REF!</v>
      </c>
      <c r="C19" s="48"/>
      <c r="D19" s="51"/>
      <c r="E19" s="51"/>
      <c r="F19" s="51"/>
      <c r="G19" s="51"/>
      <c r="H19" s="51"/>
      <c r="I19" s="207"/>
    </row>
    <row r="20" spans="1:9" ht="12.75">
      <c r="A20" s="208"/>
      <c r="B20" s="51"/>
      <c r="C20" s="51"/>
      <c r="D20" s="51"/>
      <c r="E20" s="51"/>
      <c r="F20" s="51"/>
      <c r="G20" s="51"/>
      <c r="H20" s="51"/>
      <c r="I20" s="207"/>
    </row>
    <row r="21" spans="1:9" ht="12.75">
      <c r="A21" s="208" t="s">
        <v>26</v>
      </c>
      <c r="B21" s="183" t="e">
        <f>B19/'1. JOB COST SUMMARY'!G7</f>
        <v>#REF!</v>
      </c>
      <c r="C21" s="51"/>
      <c r="D21" s="51"/>
      <c r="E21" s="51"/>
      <c r="F21" s="51"/>
      <c r="G21" s="51"/>
      <c r="H21" s="51"/>
      <c r="I21" s="207"/>
    </row>
    <row r="22" spans="1:9" ht="12.75">
      <c r="A22" s="208"/>
      <c r="B22" s="51"/>
      <c r="C22" s="51"/>
      <c r="D22" s="51"/>
      <c r="E22" s="51"/>
      <c r="F22" s="51"/>
      <c r="G22" s="51"/>
      <c r="H22" s="51"/>
      <c r="I22" s="207"/>
    </row>
    <row r="23" spans="1:9" ht="13.5" thickBot="1">
      <c r="A23" s="46"/>
      <c r="B23" s="209"/>
      <c r="C23" s="209"/>
      <c r="D23" s="209"/>
      <c r="E23" s="209"/>
      <c r="F23" s="209"/>
      <c r="G23" s="209"/>
      <c r="H23" s="209"/>
      <c r="I23" s="210"/>
    </row>
    <row r="24" ht="12.75">
      <c r="A24" s="211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30" ht="24" thickBot="1">
      <c r="K30" s="200" t="s">
        <v>5</v>
      </c>
    </row>
    <row r="31" spans="11:19" ht="12.75">
      <c r="K31" s="202"/>
      <c r="L31" s="203"/>
      <c r="M31" s="203"/>
      <c r="N31" s="203"/>
      <c r="O31" s="203"/>
      <c r="P31" s="203"/>
      <c r="Q31" s="203"/>
      <c r="R31" s="203"/>
      <c r="S31" s="204"/>
    </row>
    <row r="32" spans="11:19" ht="38.25">
      <c r="K32" s="205" t="s">
        <v>7</v>
      </c>
      <c r="L32" s="206" t="s">
        <v>32</v>
      </c>
      <c r="M32" s="206" t="s">
        <v>33</v>
      </c>
      <c r="N32" s="206" t="s">
        <v>10</v>
      </c>
      <c r="O32" s="51"/>
      <c r="P32" s="51"/>
      <c r="Q32" s="51"/>
      <c r="R32" s="51"/>
      <c r="S32" s="207"/>
    </row>
    <row r="33" spans="11:19" ht="12.75">
      <c r="K33" s="87" t="s">
        <v>11</v>
      </c>
      <c r="L33" s="48" t="s">
        <v>6</v>
      </c>
      <c r="M33" s="201" t="s">
        <v>6</v>
      </c>
      <c r="N33" s="51"/>
      <c r="O33" s="51"/>
      <c r="P33" s="51"/>
      <c r="Q33" s="51"/>
      <c r="R33" s="51"/>
      <c r="S33" s="207"/>
    </row>
    <row r="34" spans="11:19" ht="12.75">
      <c r="K34" s="87" t="s">
        <v>12</v>
      </c>
      <c r="L34" s="48" t="s">
        <v>6</v>
      </c>
      <c r="M34" s="201" t="s">
        <v>6</v>
      </c>
      <c r="N34" s="51"/>
      <c r="O34" s="51"/>
      <c r="P34" s="51"/>
      <c r="Q34" s="51"/>
      <c r="R34" s="51"/>
      <c r="S34" s="207"/>
    </row>
    <row r="35" spans="11:19" ht="12.75">
      <c r="K35" s="87" t="s">
        <v>13</v>
      </c>
      <c r="L35" s="48" t="s">
        <v>6</v>
      </c>
      <c r="M35" s="201" t="s">
        <v>6</v>
      </c>
      <c r="N35" s="51"/>
      <c r="O35" s="51"/>
      <c r="P35" s="51"/>
      <c r="Q35" s="51"/>
      <c r="R35" s="51"/>
      <c r="S35" s="207"/>
    </row>
    <row r="36" spans="11:19" ht="12.75">
      <c r="K36" s="87" t="s">
        <v>14</v>
      </c>
      <c r="L36" s="48" t="s">
        <v>6</v>
      </c>
      <c r="M36" s="201" t="s">
        <v>6</v>
      </c>
      <c r="N36" s="51"/>
      <c r="O36" s="51"/>
      <c r="P36" s="51"/>
      <c r="Q36" s="51"/>
      <c r="R36" s="51"/>
      <c r="S36" s="207"/>
    </row>
    <row r="37" spans="11:19" ht="12.75">
      <c r="K37" s="87" t="s">
        <v>15</v>
      </c>
      <c r="L37" s="48" t="s">
        <v>6</v>
      </c>
      <c r="M37" s="201" t="s">
        <v>6</v>
      </c>
      <c r="N37" s="51"/>
      <c r="O37" s="51"/>
      <c r="P37" s="51"/>
      <c r="Q37" s="51"/>
      <c r="R37" s="51"/>
      <c r="S37" s="207"/>
    </row>
    <row r="38" spans="11:19" ht="12.75">
      <c r="K38" s="87" t="s">
        <v>16</v>
      </c>
      <c r="L38" s="48" t="s">
        <v>6</v>
      </c>
      <c r="M38" s="201" t="s">
        <v>6</v>
      </c>
      <c r="N38" s="51" t="s">
        <v>17</v>
      </c>
      <c r="O38" s="51"/>
      <c r="P38" s="51"/>
      <c r="Q38" s="51"/>
      <c r="R38" s="51"/>
      <c r="S38" s="207"/>
    </row>
    <row r="39" spans="11:19" ht="12.75">
      <c r="K39" s="87" t="s">
        <v>18</v>
      </c>
      <c r="L39" s="48" t="s">
        <v>6</v>
      </c>
      <c r="M39" s="201" t="s">
        <v>6</v>
      </c>
      <c r="N39" s="51"/>
      <c r="O39" s="51"/>
      <c r="P39" s="51"/>
      <c r="Q39" s="51"/>
      <c r="R39" s="51"/>
      <c r="S39" s="207"/>
    </row>
    <row r="40" spans="11:19" ht="12.75">
      <c r="K40" s="87" t="s">
        <v>19</v>
      </c>
      <c r="L40" s="48" t="s">
        <v>6</v>
      </c>
      <c r="M40" s="201" t="s">
        <v>6</v>
      </c>
      <c r="N40" s="51"/>
      <c r="O40" s="51"/>
      <c r="P40" s="51"/>
      <c r="Q40" s="51"/>
      <c r="R40" s="51"/>
      <c r="S40" s="207"/>
    </row>
    <row r="41" spans="11:19" ht="12.75">
      <c r="K41" s="87" t="s">
        <v>20</v>
      </c>
      <c r="L41" s="48" t="s">
        <v>6</v>
      </c>
      <c r="M41" s="201" t="s">
        <v>6</v>
      </c>
      <c r="N41" s="51"/>
      <c r="O41" s="51"/>
      <c r="P41" s="51"/>
      <c r="Q41" s="51"/>
      <c r="R41" s="51"/>
      <c r="S41" s="207"/>
    </row>
    <row r="42" spans="11:19" ht="12.75">
      <c r="K42" s="87" t="s">
        <v>21</v>
      </c>
      <c r="L42" s="48" t="s">
        <v>6</v>
      </c>
      <c r="M42" s="201" t="s">
        <v>6</v>
      </c>
      <c r="N42" s="51"/>
      <c r="O42" s="51"/>
      <c r="P42" s="51"/>
      <c r="Q42" s="51"/>
      <c r="R42" s="51"/>
      <c r="S42" s="207"/>
    </row>
    <row r="43" spans="11:19" ht="12.75">
      <c r="K43" s="87" t="s">
        <v>22</v>
      </c>
      <c r="L43" s="48" t="s">
        <v>6</v>
      </c>
      <c r="M43" s="201" t="s">
        <v>6</v>
      </c>
      <c r="N43" s="51" t="s">
        <v>23</v>
      </c>
      <c r="O43" s="51"/>
      <c r="P43" s="51"/>
      <c r="Q43" s="51"/>
      <c r="R43" s="51"/>
      <c r="S43" s="207"/>
    </row>
    <row r="44" spans="11:19" ht="12.75">
      <c r="K44" s="87"/>
      <c r="L44" s="48" t="s">
        <v>6</v>
      </c>
      <c r="M44" s="88"/>
      <c r="N44" s="51" t="s">
        <v>24</v>
      </c>
      <c r="O44" s="51"/>
      <c r="P44" s="51"/>
      <c r="Q44" s="51"/>
      <c r="R44" s="51"/>
      <c r="S44" s="207"/>
    </row>
    <row r="45" spans="11:19" ht="12.75">
      <c r="K45" s="87" t="s">
        <v>34</v>
      </c>
      <c r="L45" s="48" t="s">
        <v>6</v>
      </c>
      <c r="M45" s="48"/>
      <c r="N45" s="51"/>
      <c r="O45" s="51"/>
      <c r="P45" s="51"/>
      <c r="Q45" s="51"/>
      <c r="R45" s="51"/>
      <c r="S45" s="207"/>
    </row>
    <row r="46" spans="11:19" ht="12.75">
      <c r="K46" s="208"/>
      <c r="L46" s="51"/>
      <c r="M46" s="51"/>
      <c r="N46" s="51"/>
      <c r="O46" s="51"/>
      <c r="P46" s="51"/>
      <c r="Q46" s="51"/>
      <c r="R46" s="51"/>
      <c r="S46" s="207"/>
    </row>
    <row r="47" spans="11:19" ht="12.75">
      <c r="K47" s="208" t="s">
        <v>35</v>
      </c>
      <c r="L47" s="88" t="s">
        <v>6</v>
      </c>
      <c r="M47" s="51" t="s">
        <v>36</v>
      </c>
      <c r="N47" s="51"/>
      <c r="O47" s="51"/>
      <c r="P47" s="51"/>
      <c r="Q47" s="51"/>
      <c r="R47" s="51"/>
      <c r="S47" s="207"/>
    </row>
    <row r="48" spans="11:19" ht="12.75">
      <c r="K48" s="208"/>
      <c r="L48" s="51"/>
      <c r="M48" s="51" t="s">
        <v>37</v>
      </c>
      <c r="N48" s="51"/>
      <c r="O48" s="51"/>
      <c r="P48" s="51"/>
      <c r="Q48" s="51"/>
      <c r="R48" s="51"/>
      <c r="S48" s="207"/>
    </row>
    <row r="49" spans="11:19" ht="13.5" thickBot="1">
      <c r="K49" s="46"/>
      <c r="L49" s="209"/>
      <c r="M49" s="209"/>
      <c r="N49" s="209"/>
      <c r="O49" s="209"/>
      <c r="P49" s="209"/>
      <c r="Q49" s="209"/>
      <c r="R49" s="209"/>
      <c r="S49" s="21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1" sqref="A1:H1"/>
    </sheetView>
  </sheetViews>
  <sheetFormatPr defaultColWidth="9.140625" defaultRowHeight="12.75"/>
  <cols>
    <col min="1" max="1" width="11.421875" style="0" customWidth="1"/>
    <col min="3" max="3" width="12.28125" style="0" customWidth="1"/>
    <col min="7" max="7" width="10.57421875" style="0" customWidth="1"/>
    <col min="8" max="8" width="16.28125" style="0" customWidth="1"/>
  </cols>
  <sheetData>
    <row r="1" spans="1:13" s="214" customFormat="1" ht="28.5" customHeight="1" thickBot="1">
      <c r="A1" s="896" t="s">
        <v>459</v>
      </c>
      <c r="B1" s="897"/>
      <c r="C1" s="897"/>
      <c r="D1" s="897"/>
      <c r="E1" s="897"/>
      <c r="F1" s="897"/>
      <c r="G1" s="897"/>
      <c r="H1" s="898"/>
      <c r="L1" s="213"/>
      <c r="M1" s="213"/>
    </row>
    <row r="2" spans="1:13" s="214" customFormat="1" ht="15.75" customHeight="1" thickBot="1">
      <c r="A2" s="434" t="s">
        <v>538</v>
      </c>
      <c r="B2" s="436"/>
      <c r="C2" s="438"/>
      <c r="D2" s="438"/>
      <c r="E2" s="438"/>
      <c r="F2" s="438"/>
      <c r="G2" s="438"/>
      <c r="H2" s="439"/>
      <c r="L2" s="213"/>
      <c r="M2" s="213"/>
    </row>
    <row r="3" spans="1:8" ht="13.5" thickBot="1">
      <c r="A3" s="318"/>
      <c r="B3" s="319"/>
      <c r="C3" s="319"/>
      <c r="D3" s="319"/>
      <c r="E3" s="319"/>
      <c r="F3" s="319"/>
      <c r="G3" s="319"/>
      <c r="H3" s="320"/>
    </row>
    <row r="4" spans="1:8" ht="12.75">
      <c r="A4" s="480" t="s">
        <v>41</v>
      </c>
      <c r="B4" s="479"/>
      <c r="C4" s="479" t="s">
        <v>42</v>
      </c>
      <c r="D4" s="479"/>
      <c r="E4" s="479"/>
      <c r="F4" s="479"/>
      <c r="G4" s="479"/>
      <c r="H4" s="563"/>
    </row>
    <row r="5" spans="1:8" ht="12.75">
      <c r="A5" s="483" t="s">
        <v>44</v>
      </c>
      <c r="B5" s="484"/>
      <c r="C5" s="484"/>
      <c r="D5" s="484"/>
      <c r="E5" s="484"/>
      <c r="F5" s="484"/>
      <c r="G5" s="484"/>
      <c r="H5" s="564"/>
    </row>
    <row r="6" spans="1:8" ht="12.75">
      <c r="A6" s="483"/>
      <c r="B6" s="484" t="s">
        <v>518</v>
      </c>
      <c r="C6" s="484"/>
      <c r="D6" s="484"/>
      <c r="E6" s="484"/>
      <c r="F6" s="484"/>
      <c r="G6" s="484"/>
      <c r="H6" s="770">
        <v>3000</v>
      </c>
    </row>
    <row r="7" spans="1:8" ht="13.5" thickBot="1">
      <c r="A7" s="483"/>
      <c r="B7" s="484" t="s">
        <v>530</v>
      </c>
      <c r="C7" s="484"/>
      <c r="D7" s="484"/>
      <c r="E7" s="484"/>
      <c r="F7" s="484"/>
      <c r="G7" s="484"/>
      <c r="H7" s="564"/>
    </row>
    <row r="8" spans="1:8" ht="12.75">
      <c r="A8" s="561" t="s">
        <v>61</v>
      </c>
      <c r="B8" s="562"/>
      <c r="C8" s="562"/>
      <c r="D8" s="562"/>
      <c r="E8" s="562"/>
      <c r="F8" s="562"/>
      <c r="G8" s="562"/>
      <c r="H8" s="565"/>
    </row>
    <row r="9" spans="1:8" s="317" customFormat="1" ht="12.75">
      <c r="A9" s="943" t="s">
        <v>66</v>
      </c>
      <c r="B9" s="944"/>
      <c r="C9" s="945"/>
      <c r="D9" s="936" t="s">
        <v>428</v>
      </c>
      <c r="E9" s="937"/>
      <c r="F9" s="936" t="s">
        <v>431</v>
      </c>
      <c r="G9" s="938"/>
      <c r="H9" s="736" t="s">
        <v>432</v>
      </c>
    </row>
    <row r="10" spans="1:8" s="317" customFormat="1" ht="12.75">
      <c r="A10" s="939" t="s">
        <v>506</v>
      </c>
      <c r="B10" s="940"/>
      <c r="C10" s="941"/>
      <c r="D10" s="927">
        <v>2500</v>
      </c>
      <c r="E10" s="942"/>
      <c r="F10" s="929">
        <v>3</v>
      </c>
      <c r="G10" s="930"/>
      <c r="H10" s="766">
        <f aca="true" t="shared" si="0" ref="H10:H17">IF(F10&gt;0,D10/F10,0)</f>
        <v>833.3333333333334</v>
      </c>
    </row>
    <row r="11" spans="1:8" ht="12.75">
      <c r="A11" s="925" t="s">
        <v>505</v>
      </c>
      <c r="B11" s="926"/>
      <c r="C11" s="946"/>
      <c r="D11" s="927">
        <v>400</v>
      </c>
      <c r="E11" s="942"/>
      <c r="F11" s="929">
        <v>2</v>
      </c>
      <c r="G11" s="930"/>
      <c r="H11" s="766">
        <f t="shared" si="0"/>
        <v>200</v>
      </c>
    </row>
    <row r="12" spans="1:8" ht="12.75">
      <c r="A12" s="925" t="s">
        <v>507</v>
      </c>
      <c r="B12" s="926"/>
      <c r="C12" s="926"/>
      <c r="D12" s="927">
        <v>700</v>
      </c>
      <c r="E12" s="928"/>
      <c r="F12" s="929">
        <v>3</v>
      </c>
      <c r="G12" s="930"/>
      <c r="H12" s="766">
        <f t="shared" si="0"/>
        <v>233.33333333333334</v>
      </c>
    </row>
    <row r="13" spans="1:8" ht="12.75">
      <c r="A13" s="556" t="s">
        <v>517</v>
      </c>
      <c r="B13" s="557"/>
      <c r="C13" s="558"/>
      <c r="D13" s="934">
        <v>1000</v>
      </c>
      <c r="E13" s="935"/>
      <c r="F13" s="912">
        <v>5</v>
      </c>
      <c r="G13" s="913"/>
      <c r="H13" s="766">
        <f t="shared" si="0"/>
        <v>200</v>
      </c>
    </row>
    <row r="14" spans="1:8" ht="12.75">
      <c r="A14" s="556"/>
      <c r="B14" s="557"/>
      <c r="C14" s="558"/>
      <c r="D14" s="919"/>
      <c r="E14" s="920"/>
      <c r="F14" s="912"/>
      <c r="G14" s="913"/>
      <c r="H14" s="766">
        <f t="shared" si="0"/>
        <v>0</v>
      </c>
    </row>
    <row r="15" spans="1:8" ht="12.75">
      <c r="A15" s="556"/>
      <c r="B15" s="557"/>
      <c r="C15" s="558"/>
      <c r="D15" s="919"/>
      <c r="E15" s="920"/>
      <c r="F15" s="912"/>
      <c r="G15" s="913"/>
      <c r="H15" s="766">
        <f t="shared" si="0"/>
        <v>0</v>
      </c>
    </row>
    <row r="16" spans="1:8" ht="12.75">
      <c r="A16" s="556"/>
      <c r="B16" s="557"/>
      <c r="C16" s="558"/>
      <c r="D16" s="919"/>
      <c r="E16" s="920"/>
      <c r="F16" s="912"/>
      <c r="G16" s="913"/>
      <c r="H16" s="766">
        <f t="shared" si="0"/>
        <v>0</v>
      </c>
    </row>
    <row r="17" spans="1:8" ht="13.5" thickBot="1">
      <c r="A17" s="931"/>
      <c r="B17" s="932"/>
      <c r="C17" s="933"/>
      <c r="D17" s="921"/>
      <c r="E17" s="922"/>
      <c r="F17" s="923"/>
      <c r="G17" s="924"/>
      <c r="H17" s="766">
        <f t="shared" si="0"/>
        <v>0</v>
      </c>
    </row>
    <row r="18" spans="1:8" ht="12.75">
      <c r="A18" s="480" t="s">
        <v>73</v>
      </c>
      <c r="B18" s="479"/>
      <c r="C18" s="479"/>
      <c r="D18" s="479"/>
      <c r="E18" s="479"/>
      <c r="F18" s="479"/>
      <c r="G18" s="479"/>
      <c r="H18" s="563"/>
    </row>
    <row r="19" spans="1:8" ht="12.75">
      <c r="A19" s="916" t="s">
        <v>658</v>
      </c>
      <c r="B19" s="917"/>
      <c r="C19" s="917"/>
      <c r="D19" s="917"/>
      <c r="E19" s="917"/>
      <c r="F19" s="917"/>
      <c r="G19" s="918"/>
      <c r="H19" s="767">
        <v>4800</v>
      </c>
    </row>
    <row r="20" spans="1:8" ht="13.5" thickBot="1">
      <c r="A20" s="893"/>
      <c r="B20" s="911"/>
      <c r="C20" s="911"/>
      <c r="D20" s="911"/>
      <c r="E20" s="911"/>
      <c r="F20" s="911"/>
      <c r="G20" s="911"/>
      <c r="H20" s="559"/>
    </row>
    <row r="21" spans="1:8" ht="12.75">
      <c r="A21" s="480" t="s">
        <v>81</v>
      </c>
      <c r="B21" s="479"/>
      <c r="C21" s="479"/>
      <c r="D21" s="479"/>
      <c r="E21" s="479"/>
      <c r="F21" s="479"/>
      <c r="G21" s="479"/>
      <c r="H21" s="563"/>
    </row>
    <row r="22" spans="1:8" ht="13.5" thickBot="1">
      <c r="A22" s="916" t="s">
        <v>658</v>
      </c>
      <c r="B22" s="917"/>
      <c r="C22" s="917"/>
      <c r="D22" s="917"/>
      <c r="E22" s="917"/>
      <c r="F22" s="917"/>
      <c r="G22" s="918"/>
      <c r="H22" s="768">
        <f>200*20</f>
        <v>4000</v>
      </c>
    </row>
    <row r="23" spans="1:8" ht="12.75">
      <c r="A23" s="480" t="s">
        <v>86</v>
      </c>
      <c r="B23" s="479"/>
      <c r="C23" s="479"/>
      <c r="D23" s="479"/>
      <c r="E23" s="479"/>
      <c r="F23" s="479"/>
      <c r="G23" s="479"/>
      <c r="H23" s="564"/>
    </row>
    <row r="24" spans="1:8" ht="12.75">
      <c r="A24" s="916" t="s">
        <v>658</v>
      </c>
      <c r="B24" s="917"/>
      <c r="C24" s="917"/>
      <c r="D24" s="917"/>
      <c r="E24" s="917"/>
      <c r="F24" s="917"/>
      <c r="G24" s="918"/>
      <c r="H24" s="767">
        <v>6000</v>
      </c>
    </row>
    <row r="25" spans="1:8" ht="13.5" thickBot="1">
      <c r="A25" s="893"/>
      <c r="B25" s="911"/>
      <c r="C25" s="911"/>
      <c r="D25" s="911"/>
      <c r="E25" s="911"/>
      <c r="F25" s="911"/>
      <c r="G25" s="911"/>
      <c r="H25" s="560"/>
    </row>
    <row r="26" spans="1:8" ht="12.75">
      <c r="A26" s="480" t="s">
        <v>659</v>
      </c>
      <c r="B26" s="479"/>
      <c r="C26" s="479"/>
      <c r="D26" s="479"/>
      <c r="E26" s="479"/>
      <c r="F26" s="479"/>
      <c r="G26" s="479"/>
      <c r="H26" s="563"/>
    </row>
    <row r="27" spans="1:8" ht="13.5" thickBot="1">
      <c r="A27" s="916" t="s">
        <v>658</v>
      </c>
      <c r="B27" s="917"/>
      <c r="C27" s="917"/>
      <c r="D27" s="917"/>
      <c r="E27" s="917"/>
      <c r="F27" s="917"/>
      <c r="G27" s="918"/>
      <c r="H27" s="768">
        <v>5000</v>
      </c>
    </row>
    <row r="28" spans="1:8" ht="12.75">
      <c r="A28" s="480" t="s">
        <v>593</v>
      </c>
      <c r="B28" s="479"/>
      <c r="C28" s="479"/>
      <c r="D28" s="479"/>
      <c r="E28" s="479"/>
      <c r="F28" s="479"/>
      <c r="G28" s="479"/>
      <c r="H28" s="566"/>
    </row>
    <row r="29" spans="1:8" ht="13.5" thickBot="1">
      <c r="A29" s="916" t="s">
        <v>658</v>
      </c>
      <c r="B29" s="917"/>
      <c r="C29" s="917"/>
      <c r="D29" s="917"/>
      <c r="E29" s="917"/>
      <c r="F29" s="917"/>
      <c r="G29" s="918"/>
      <c r="H29" s="768">
        <v>1200</v>
      </c>
    </row>
    <row r="30" spans="1:8" ht="13.5" thickBot="1">
      <c r="A30" s="567" t="s">
        <v>660</v>
      </c>
      <c r="B30" s="547"/>
      <c r="C30" s="547"/>
      <c r="D30" s="547"/>
      <c r="E30" s="547"/>
      <c r="F30" s="547"/>
      <c r="G30" s="547"/>
      <c r="H30" s="769">
        <v>1000</v>
      </c>
    </row>
    <row r="31" spans="1:8" ht="13.5" thickBot="1">
      <c r="A31" s="567" t="s">
        <v>516</v>
      </c>
      <c r="B31" s="547"/>
      <c r="C31" s="547"/>
      <c r="D31" s="547"/>
      <c r="E31" s="547"/>
      <c r="F31" s="547"/>
      <c r="G31" s="547"/>
      <c r="H31" s="769">
        <v>0</v>
      </c>
    </row>
    <row r="32" spans="1:8" ht="13.5" thickBot="1">
      <c r="A32" s="567" t="s">
        <v>661</v>
      </c>
      <c r="B32" s="547"/>
      <c r="C32" s="547"/>
      <c r="D32" s="547"/>
      <c r="E32" s="547"/>
      <c r="F32" s="547"/>
      <c r="G32" s="547"/>
      <c r="H32" s="769">
        <v>1000</v>
      </c>
    </row>
    <row r="33" spans="1:8" ht="13.5" thickBot="1">
      <c r="A33" s="914" t="s">
        <v>166</v>
      </c>
      <c r="B33" s="915"/>
      <c r="C33" s="915"/>
      <c r="D33" s="915"/>
      <c r="E33" s="915"/>
      <c r="F33" s="915"/>
      <c r="G33" s="915"/>
      <c r="H33" s="769">
        <v>0</v>
      </c>
    </row>
    <row r="34" spans="1:8" ht="13.5" thickBot="1">
      <c r="A34" s="567" t="s">
        <v>435</v>
      </c>
      <c r="B34" s="547"/>
      <c r="C34" s="547"/>
      <c r="D34" s="547"/>
      <c r="E34" s="547"/>
      <c r="F34" s="547"/>
      <c r="G34" s="547"/>
      <c r="H34" s="771">
        <f>SUM(H6:H33)</f>
        <v>27466.666666666668</v>
      </c>
    </row>
    <row r="35" spans="1:8" ht="13.5" thickBot="1">
      <c r="A35" s="567" t="s">
        <v>594</v>
      </c>
      <c r="B35" s="547"/>
      <c r="C35" s="547"/>
      <c r="D35" s="547"/>
      <c r="E35" s="547"/>
      <c r="F35" s="547"/>
      <c r="G35" s="547"/>
      <c r="H35" s="772">
        <f>H34/'1. JOB COST SUMMARY'!$G$7</f>
        <v>119.42028985507247</v>
      </c>
    </row>
    <row r="36" spans="1:8" ht="12.75">
      <c r="A36" s="369"/>
      <c r="B36" s="369"/>
      <c r="C36" s="369"/>
      <c r="D36" s="369"/>
      <c r="E36" s="369"/>
      <c r="F36" s="369"/>
      <c r="G36" s="369"/>
      <c r="H36" s="369"/>
    </row>
    <row r="37" spans="1:8" ht="12.75">
      <c r="A37" s="369"/>
      <c r="B37" s="369"/>
      <c r="C37" s="369"/>
      <c r="D37" s="369"/>
      <c r="E37" s="369"/>
      <c r="F37" s="369"/>
      <c r="G37" s="369"/>
      <c r="H37" s="369"/>
    </row>
    <row r="38" spans="1:8" ht="12.75">
      <c r="A38" s="369"/>
      <c r="B38" s="369"/>
      <c r="C38" s="369"/>
      <c r="D38" s="369"/>
      <c r="E38" s="369"/>
      <c r="F38" s="369"/>
      <c r="G38" s="369"/>
      <c r="H38" s="369"/>
    </row>
    <row r="39" spans="1:8" ht="12.75">
      <c r="A39" s="369"/>
      <c r="B39" s="369"/>
      <c r="C39" s="369"/>
      <c r="D39" s="369"/>
      <c r="E39" s="369"/>
      <c r="F39" s="369"/>
      <c r="G39" s="369"/>
      <c r="H39" s="369"/>
    </row>
    <row r="40" spans="1:8" ht="12.75">
      <c r="A40" s="369"/>
      <c r="B40" s="369"/>
      <c r="C40" s="369"/>
      <c r="D40" s="369"/>
      <c r="E40" s="369"/>
      <c r="F40" s="369"/>
      <c r="G40" s="369"/>
      <c r="H40" s="369"/>
    </row>
    <row r="41" spans="1:8" ht="12.75">
      <c r="A41" s="369"/>
      <c r="B41" s="369"/>
      <c r="C41" s="369"/>
      <c r="D41" s="369"/>
      <c r="E41" s="369"/>
      <c r="F41" s="369"/>
      <c r="G41" s="369"/>
      <c r="H41" s="369"/>
    </row>
    <row r="42" spans="1:8" ht="12.75">
      <c r="A42" s="369"/>
      <c r="B42" s="369"/>
      <c r="C42" s="369"/>
      <c r="D42" s="369"/>
      <c r="E42" s="369"/>
      <c r="F42" s="369"/>
      <c r="G42" s="369"/>
      <c r="H42" s="369"/>
    </row>
    <row r="43" spans="1:8" ht="12.75">
      <c r="A43" s="369"/>
      <c r="B43" s="369"/>
      <c r="C43" s="369"/>
      <c r="D43" s="369"/>
      <c r="E43" s="369"/>
      <c r="F43" s="369"/>
      <c r="G43" s="369"/>
      <c r="H43" s="369"/>
    </row>
  </sheetData>
  <sheetProtection password="8FA7" sheet="1" objects="1" scenarios="1"/>
  <protectedRanges>
    <protectedRange password="8FA7" sqref="H6 A10:G17 A19:H20 A22:H22 A24:H25 A27:H27 A29:H29 H30 H31 H32 A33:H33" name="Range1"/>
  </protectedRanges>
  <mergeCells count="32">
    <mergeCell ref="A9:C9"/>
    <mergeCell ref="A11:C11"/>
    <mergeCell ref="F13:G13"/>
    <mergeCell ref="F14:G14"/>
    <mergeCell ref="A1:H1"/>
    <mergeCell ref="D9:E9"/>
    <mergeCell ref="F9:G9"/>
    <mergeCell ref="F11:G11"/>
    <mergeCell ref="A10:C10"/>
    <mergeCell ref="D10:E10"/>
    <mergeCell ref="F10:G10"/>
    <mergeCell ref="D11:E11"/>
    <mergeCell ref="A20:G20"/>
    <mergeCell ref="A22:G22"/>
    <mergeCell ref="A19:G19"/>
    <mergeCell ref="A12:C12"/>
    <mergeCell ref="D12:E12"/>
    <mergeCell ref="F12:G12"/>
    <mergeCell ref="A17:C17"/>
    <mergeCell ref="D13:E13"/>
    <mergeCell ref="D14:E14"/>
    <mergeCell ref="D15:E15"/>
    <mergeCell ref="A25:G25"/>
    <mergeCell ref="F15:G15"/>
    <mergeCell ref="F16:G16"/>
    <mergeCell ref="A33:G33"/>
    <mergeCell ref="A27:G27"/>
    <mergeCell ref="A24:G24"/>
    <mergeCell ref="D16:E16"/>
    <mergeCell ref="D17:E17"/>
    <mergeCell ref="F17:G17"/>
    <mergeCell ref="A29:G29"/>
  </mergeCells>
  <printOptions/>
  <pageMargins left="0.75" right="0.75" top="1" bottom="1" header="0.5" footer="0.5"/>
  <pageSetup blackAndWhite="1"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4" sqref="A14"/>
    </sheetView>
  </sheetViews>
  <sheetFormatPr defaultColWidth="9.140625" defaultRowHeight="12.75"/>
  <cols>
    <col min="1" max="1" width="26.57421875" style="0" bestFit="1" customWidth="1"/>
    <col min="2" max="2" width="29.28125" style="0" bestFit="1" customWidth="1"/>
    <col min="3" max="4" width="13.00390625" style="0" customWidth="1"/>
  </cols>
  <sheetData>
    <row r="1" spans="1:4" ht="24" thickBot="1">
      <c r="A1" s="947" t="s">
        <v>548</v>
      </c>
      <c r="B1" s="948"/>
      <c r="C1" s="948"/>
      <c r="D1" s="949"/>
    </row>
    <row r="2" spans="1:4" ht="16.5" thickBot="1">
      <c r="A2" s="434" t="s">
        <v>538</v>
      </c>
      <c r="B2" s="737"/>
      <c r="C2" s="737"/>
      <c r="D2" s="738"/>
    </row>
    <row r="3" spans="1:4" ht="13.5" thickBot="1">
      <c r="A3" s="739"/>
      <c r="B3" s="740"/>
      <c r="C3" s="741"/>
      <c r="D3" s="742"/>
    </row>
    <row r="4" spans="1:4" ht="13.5" thickBot="1">
      <c r="A4" s="753" t="s">
        <v>549</v>
      </c>
      <c r="B4" s="754" t="s">
        <v>7</v>
      </c>
      <c r="C4" s="754" t="s">
        <v>550</v>
      </c>
      <c r="D4" s="743" t="s">
        <v>551</v>
      </c>
    </row>
    <row r="5" spans="1:4" ht="12.75">
      <c r="A5" s="755" t="s">
        <v>552</v>
      </c>
      <c r="B5" s="755" t="s">
        <v>553</v>
      </c>
      <c r="C5" s="756" t="s">
        <v>554</v>
      </c>
      <c r="D5" s="749">
        <v>9</v>
      </c>
    </row>
    <row r="6" spans="1:4" ht="12.75">
      <c r="A6" s="757" t="s">
        <v>555</v>
      </c>
      <c r="B6" s="757" t="s">
        <v>556</v>
      </c>
      <c r="C6" s="758" t="s">
        <v>557</v>
      </c>
      <c r="D6" s="750">
        <v>60</v>
      </c>
    </row>
    <row r="7" spans="1:4" ht="12.75">
      <c r="A7" s="757" t="s">
        <v>558</v>
      </c>
      <c r="B7" s="757" t="s">
        <v>559</v>
      </c>
      <c r="C7" s="758" t="s">
        <v>557</v>
      </c>
      <c r="D7" s="750">
        <v>75</v>
      </c>
    </row>
    <row r="8" spans="1:5" ht="12.75">
      <c r="A8" s="757" t="s">
        <v>560</v>
      </c>
      <c r="B8" s="757" t="s">
        <v>561</v>
      </c>
      <c r="C8" s="758" t="s">
        <v>544</v>
      </c>
      <c r="D8" s="750"/>
      <c r="E8" t="s">
        <v>662</v>
      </c>
    </row>
    <row r="9" spans="1:4" ht="12.75">
      <c r="A9" s="757" t="s">
        <v>562</v>
      </c>
      <c r="B9" s="757" t="s">
        <v>563</v>
      </c>
      <c r="C9" s="758" t="s">
        <v>564</v>
      </c>
      <c r="D9" s="751">
        <v>1.85</v>
      </c>
    </row>
    <row r="10" spans="1:4" ht="12.75">
      <c r="A10" s="757" t="s">
        <v>565</v>
      </c>
      <c r="B10" s="757" t="s">
        <v>566</v>
      </c>
      <c r="C10" s="758" t="s">
        <v>567</v>
      </c>
      <c r="D10" s="751">
        <v>7.2</v>
      </c>
    </row>
    <row r="11" spans="1:4" ht="13.5" thickBot="1">
      <c r="A11" s="759" t="s">
        <v>568</v>
      </c>
      <c r="B11" s="759" t="s">
        <v>569</v>
      </c>
      <c r="C11" s="760" t="s">
        <v>570</v>
      </c>
      <c r="D11" s="752">
        <v>2.5</v>
      </c>
    </row>
    <row r="12" spans="1:4" ht="13.5" thickBot="1">
      <c r="A12" s="744"/>
      <c r="B12" s="745"/>
      <c r="C12" s="746"/>
      <c r="D12" s="748"/>
    </row>
    <row r="13" spans="1:4" ht="13.5" thickBot="1">
      <c r="A13" s="753" t="s">
        <v>571</v>
      </c>
      <c r="B13" s="754"/>
      <c r="C13" s="754"/>
      <c r="D13" s="754"/>
    </row>
    <row r="14" spans="1:4" ht="12.75">
      <c r="A14" s="755" t="s">
        <v>572</v>
      </c>
      <c r="B14" s="755" t="s">
        <v>573</v>
      </c>
      <c r="C14" s="758" t="s">
        <v>574</v>
      </c>
      <c r="D14" s="761">
        <f>IF(D8&gt;0,D5*D8/100,D5-(SUM(D6:D7)/60))</f>
        <v>6.75</v>
      </c>
    </row>
    <row r="15" spans="1:4" ht="12.75">
      <c r="A15" s="757" t="s">
        <v>560</v>
      </c>
      <c r="B15" s="757" t="s">
        <v>561</v>
      </c>
      <c r="C15" s="758" t="s">
        <v>544</v>
      </c>
      <c r="D15" s="762">
        <f>IF(D8&gt;0,D8/100,D14/D5)</f>
        <v>0.75</v>
      </c>
    </row>
    <row r="16" spans="1:4" ht="13.5" thickBot="1">
      <c r="A16" s="757" t="s">
        <v>575</v>
      </c>
      <c r="B16" s="757" t="s">
        <v>576</v>
      </c>
      <c r="C16" s="758" t="s">
        <v>577</v>
      </c>
      <c r="D16" s="763">
        <f>D9*D11</f>
        <v>4.625</v>
      </c>
    </row>
    <row r="17" spans="1:4" ht="13.5" thickBot="1">
      <c r="A17" s="744"/>
      <c r="B17" s="745"/>
      <c r="C17" s="746"/>
      <c r="D17" s="748"/>
    </row>
    <row r="18" spans="1:4" ht="12.75">
      <c r="A18" s="757" t="s">
        <v>578</v>
      </c>
      <c r="B18" s="757" t="s">
        <v>579</v>
      </c>
      <c r="C18" s="758" t="s">
        <v>570</v>
      </c>
      <c r="D18" s="764">
        <f>60/D10</f>
        <v>8.333333333333334</v>
      </c>
    </row>
    <row r="19" spans="1:4" ht="12.75">
      <c r="A19" s="757" t="s">
        <v>580</v>
      </c>
      <c r="B19" s="757" t="s">
        <v>581</v>
      </c>
      <c r="C19" s="758" t="s">
        <v>582</v>
      </c>
      <c r="D19" s="764">
        <f>60/D10*D11</f>
        <v>20.833333333333336</v>
      </c>
    </row>
    <row r="20" spans="1:4" ht="13.5" thickBot="1">
      <c r="A20" s="759" t="s">
        <v>583</v>
      </c>
      <c r="B20" s="759" t="s">
        <v>584</v>
      </c>
      <c r="C20" s="760" t="s">
        <v>585</v>
      </c>
      <c r="D20" s="765">
        <f>60/D10*D16</f>
        <v>38.54166666666667</v>
      </c>
    </row>
    <row r="21" spans="1:4" ht="12.75">
      <c r="A21" s="757" t="s">
        <v>586</v>
      </c>
      <c r="B21" s="757" t="s">
        <v>587</v>
      </c>
      <c r="C21" s="758" t="s">
        <v>570</v>
      </c>
      <c r="D21" s="764">
        <f>60/D10*D14</f>
        <v>56.25000000000001</v>
      </c>
    </row>
    <row r="22" spans="1:4" ht="12.75">
      <c r="A22" s="757" t="s">
        <v>588</v>
      </c>
      <c r="B22" s="757" t="s">
        <v>589</v>
      </c>
      <c r="C22" s="758" t="s">
        <v>570</v>
      </c>
      <c r="D22" s="764">
        <f>D19*D14</f>
        <v>140.62500000000003</v>
      </c>
    </row>
    <row r="23" spans="1:4" ht="13.5" thickBot="1">
      <c r="A23" s="759" t="s">
        <v>590</v>
      </c>
      <c r="B23" s="759" t="s">
        <v>591</v>
      </c>
      <c r="C23" s="760" t="s">
        <v>592</v>
      </c>
      <c r="D23" s="764">
        <f>D20*D14</f>
        <v>260.15625000000006</v>
      </c>
    </row>
    <row r="24" spans="1:4" ht="13.5" thickBot="1">
      <c r="A24" s="747"/>
      <c r="B24" s="741"/>
      <c r="C24" s="741"/>
      <c r="D24" s="742"/>
    </row>
  </sheetData>
  <sheetProtection password="8FA7" sheet="1" objects="1" scenarios="1"/>
  <protectedRanges>
    <protectedRange password="8FA7" sqref="D5:D11" name="Range1"/>
  </protectedRanges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workbookViewId="0" topLeftCell="A1">
      <selection activeCell="G15" sqref="G15"/>
    </sheetView>
  </sheetViews>
  <sheetFormatPr defaultColWidth="9.140625" defaultRowHeight="12.75"/>
  <cols>
    <col min="3" max="3" width="11.28125" style="0" customWidth="1"/>
    <col min="4" max="4" width="11.140625" style="0" customWidth="1"/>
    <col min="6" max="6" width="12.57421875" style="0" customWidth="1"/>
    <col min="9" max="9" width="8.7109375" style="0" customWidth="1"/>
  </cols>
  <sheetData>
    <row r="1" spans="1:38" ht="16.5" thickTop="1">
      <c r="A1" s="56"/>
      <c r="B1" s="57" t="s">
        <v>313</v>
      </c>
      <c r="C1" s="58"/>
      <c r="D1" s="58"/>
      <c r="E1" s="58"/>
      <c r="F1" s="59" t="s">
        <v>314</v>
      </c>
      <c r="G1" s="60"/>
      <c r="H1" s="61"/>
      <c r="I1" s="58"/>
      <c r="J1" s="58"/>
      <c r="K1" s="58"/>
      <c r="L1" s="58"/>
      <c r="M1" s="58"/>
      <c r="N1" s="58"/>
      <c r="O1" s="58"/>
      <c r="P1" s="58" t="s">
        <v>6</v>
      </c>
      <c r="Q1" s="58"/>
      <c r="R1" s="62" t="s">
        <v>6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63"/>
    </row>
    <row r="2" spans="1:38" ht="13.5" thickBot="1">
      <c r="A2" s="64"/>
      <c r="B2" s="212" t="s">
        <v>315</v>
      </c>
      <c r="C2" s="51"/>
      <c r="F2" s="65" t="s">
        <v>316</v>
      </c>
      <c r="G2" s="66"/>
      <c r="H2" s="67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68"/>
    </row>
    <row r="3" spans="1:38" ht="13.5" thickTop="1">
      <c r="A3" s="64"/>
      <c r="B3" s="51"/>
      <c r="C3" s="69" t="s">
        <v>317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68"/>
    </row>
    <row r="4" spans="1:38" ht="12.75">
      <c r="A4" s="64" t="s">
        <v>318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68"/>
    </row>
    <row r="5" spans="1:38" ht="12.75">
      <c r="A5" s="64" t="s">
        <v>319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68"/>
    </row>
    <row r="6" spans="1:38" ht="12.75">
      <c r="A6" s="64" t="s">
        <v>320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68"/>
    </row>
    <row r="7" spans="1:38" ht="12.75">
      <c r="A7" s="64" t="s">
        <v>321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68"/>
    </row>
    <row r="8" spans="1:38" ht="12.75">
      <c r="A8" s="64" t="s">
        <v>322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68"/>
    </row>
    <row r="9" spans="1:38" ht="13.5" thickBot="1">
      <c r="A9" s="70" t="s">
        <v>323</v>
      </c>
      <c r="B9" s="51"/>
      <c r="C9" s="51"/>
      <c r="D9" s="51"/>
      <c r="E9" s="51"/>
      <c r="F9" s="51"/>
      <c r="I9" s="5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8"/>
    </row>
    <row r="10" spans="1:38" ht="14.25" thickBot="1" thickTop="1">
      <c r="A10" s="71" t="s">
        <v>324</v>
      </c>
      <c r="B10" s="72"/>
      <c r="C10" s="2"/>
      <c r="D10" s="8" t="s">
        <v>325</v>
      </c>
      <c r="E10" s="73"/>
      <c r="F10" s="74"/>
      <c r="I10" s="44" t="s">
        <v>326</v>
      </c>
      <c r="J10" s="75" t="s">
        <v>327</v>
      </c>
      <c r="K10" s="76"/>
      <c r="L10" s="58"/>
      <c r="M10" s="58"/>
      <c r="N10" s="77" t="s">
        <v>328</v>
      </c>
      <c r="O10" s="58"/>
      <c r="P10" s="58"/>
      <c r="Q10" s="58"/>
      <c r="R10" s="58"/>
      <c r="S10" s="58"/>
      <c r="T10" s="58"/>
      <c r="U10" s="58"/>
      <c r="V10" s="58"/>
      <c r="W10" s="63"/>
      <c r="X10" s="51"/>
      <c r="Y10" s="78"/>
      <c r="Z10" s="76"/>
      <c r="AA10" s="77" t="s">
        <v>329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63"/>
    </row>
    <row r="11" spans="1:38" ht="12.75">
      <c r="A11" s="13"/>
      <c r="B11" s="14"/>
      <c r="C11" s="41" t="s">
        <v>330</v>
      </c>
      <c r="D11" s="79" t="s">
        <v>331</v>
      </c>
      <c r="E11" s="24">
        <v>1993</v>
      </c>
      <c r="F11" s="80">
        <f>E11+1</f>
        <v>1994</v>
      </c>
      <c r="I11" s="26">
        <f>E11</f>
        <v>1993</v>
      </c>
      <c r="J11" s="13"/>
      <c r="K11" s="14"/>
      <c r="L11" s="81" t="s">
        <v>332</v>
      </c>
      <c r="M11" s="81" t="s">
        <v>333</v>
      </c>
      <c r="N11" s="81" t="s">
        <v>334</v>
      </c>
      <c r="O11" s="81" t="s">
        <v>335</v>
      </c>
      <c r="P11" s="81" t="s">
        <v>336</v>
      </c>
      <c r="Q11" s="81" t="s">
        <v>337</v>
      </c>
      <c r="R11" s="81" t="s">
        <v>338</v>
      </c>
      <c r="S11" s="81" t="s">
        <v>339</v>
      </c>
      <c r="T11" s="81" t="s">
        <v>340</v>
      </c>
      <c r="U11" s="81" t="s">
        <v>341</v>
      </c>
      <c r="V11" s="81" t="s">
        <v>342</v>
      </c>
      <c r="W11" s="82" t="s">
        <v>343</v>
      </c>
      <c r="X11" s="51"/>
      <c r="Y11" s="13"/>
      <c r="Z11" s="14"/>
      <c r="AA11" s="83" t="s">
        <v>332</v>
      </c>
      <c r="AB11" s="83" t="s">
        <v>333</v>
      </c>
      <c r="AC11" s="83" t="s">
        <v>334</v>
      </c>
      <c r="AD11" s="83" t="s">
        <v>335</v>
      </c>
      <c r="AE11" s="83" t="s">
        <v>336</v>
      </c>
      <c r="AF11" s="83" t="s">
        <v>337</v>
      </c>
      <c r="AG11" s="83" t="s">
        <v>338</v>
      </c>
      <c r="AH11" s="83" t="s">
        <v>339</v>
      </c>
      <c r="AI11" s="83" t="s">
        <v>340</v>
      </c>
      <c r="AJ11" s="83" t="s">
        <v>341</v>
      </c>
      <c r="AK11" s="83" t="s">
        <v>342</v>
      </c>
      <c r="AL11" s="84" t="s">
        <v>343</v>
      </c>
    </row>
    <row r="12" spans="1:38" ht="12.75">
      <c r="A12" s="85" t="s">
        <v>344</v>
      </c>
      <c r="B12" s="14"/>
      <c r="C12" s="21" t="s">
        <v>345</v>
      </c>
      <c r="D12" s="86" t="s">
        <v>346</v>
      </c>
      <c r="E12" s="14"/>
      <c r="F12" s="19"/>
      <c r="I12" s="26"/>
      <c r="J12" s="85" t="s">
        <v>344</v>
      </c>
      <c r="K12" s="14"/>
      <c r="L12" s="53" t="s">
        <v>6</v>
      </c>
      <c r="M12" s="53" t="s">
        <v>6</v>
      </c>
      <c r="N12" s="53" t="s">
        <v>6</v>
      </c>
      <c r="O12" s="53" t="s">
        <v>6</v>
      </c>
      <c r="P12" s="53" t="s">
        <v>6</v>
      </c>
      <c r="Q12" s="53" t="s">
        <v>6</v>
      </c>
      <c r="R12" s="53" t="s">
        <v>6</v>
      </c>
      <c r="S12" s="53" t="s">
        <v>6</v>
      </c>
      <c r="T12" s="53" t="s">
        <v>6</v>
      </c>
      <c r="U12" s="53" t="s">
        <v>6</v>
      </c>
      <c r="V12" s="53" t="s">
        <v>6</v>
      </c>
      <c r="W12" s="29" t="s">
        <v>6</v>
      </c>
      <c r="X12" s="51"/>
      <c r="Y12" s="85" t="s">
        <v>344</v>
      </c>
      <c r="Z12" s="1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20"/>
    </row>
    <row r="13" spans="1:38" ht="12.75">
      <c r="A13" s="13" t="s">
        <v>39</v>
      </c>
      <c r="B13" s="14"/>
      <c r="C13" s="87"/>
      <c r="D13" s="34">
        <f>'1. JOB COST SUMMARY'!$G$7</f>
        <v>230</v>
      </c>
      <c r="E13" s="88">
        <v>235</v>
      </c>
      <c r="F13" s="89">
        <v>0</v>
      </c>
      <c r="I13" s="26">
        <f>E13</f>
        <v>235</v>
      </c>
      <c r="J13" s="36" t="s">
        <v>39</v>
      </c>
      <c r="K13" s="14"/>
      <c r="L13" s="54">
        <v>20</v>
      </c>
      <c r="M13" s="54">
        <v>21</v>
      </c>
      <c r="N13" s="54">
        <v>20</v>
      </c>
      <c r="O13" s="54">
        <v>20</v>
      </c>
      <c r="P13" s="54">
        <v>20</v>
      </c>
      <c r="Q13" s="54">
        <v>21</v>
      </c>
      <c r="R13" s="54">
        <v>21</v>
      </c>
      <c r="S13" s="54">
        <v>21</v>
      </c>
      <c r="T13" s="54">
        <v>15</v>
      </c>
      <c r="U13" s="54">
        <v>15</v>
      </c>
      <c r="V13" s="54">
        <v>21</v>
      </c>
      <c r="W13" s="20">
        <v>21</v>
      </c>
      <c r="X13" s="51"/>
      <c r="Y13" s="13" t="s">
        <v>39</v>
      </c>
      <c r="Z13" s="14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89"/>
    </row>
    <row r="14" spans="1:38" ht="12.75">
      <c r="A14" s="13" t="s">
        <v>347</v>
      </c>
      <c r="B14" s="14"/>
      <c r="C14" s="87"/>
      <c r="D14" s="91">
        <v>0</v>
      </c>
      <c r="E14" s="88">
        <v>200</v>
      </c>
      <c r="F14" s="89">
        <v>0</v>
      </c>
      <c r="I14" s="26">
        <f>E14</f>
        <v>200</v>
      </c>
      <c r="J14" s="36" t="s">
        <v>348</v>
      </c>
      <c r="K14" s="14"/>
      <c r="L14" s="90">
        <v>200</v>
      </c>
      <c r="M14" s="90">
        <v>200</v>
      </c>
      <c r="N14" s="90">
        <v>200</v>
      </c>
      <c r="O14" s="90">
        <v>200</v>
      </c>
      <c r="P14" s="90">
        <v>200</v>
      </c>
      <c r="Q14" s="90">
        <v>200</v>
      </c>
      <c r="R14" s="90">
        <v>200</v>
      </c>
      <c r="S14" s="90">
        <v>200</v>
      </c>
      <c r="T14" s="90">
        <v>200</v>
      </c>
      <c r="U14" s="90">
        <v>200</v>
      </c>
      <c r="V14" s="90">
        <v>200</v>
      </c>
      <c r="W14" s="89">
        <v>200</v>
      </c>
      <c r="X14" s="51"/>
      <c r="Y14" s="13" t="s">
        <v>347</v>
      </c>
      <c r="Z14" s="14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89"/>
    </row>
    <row r="15" spans="1:38" ht="13.5" thickBot="1">
      <c r="A15" s="92" t="s">
        <v>349</v>
      </c>
      <c r="B15" s="93"/>
      <c r="C15" s="94"/>
      <c r="D15" s="95">
        <v>0</v>
      </c>
      <c r="E15" s="96">
        <v>20.49</v>
      </c>
      <c r="F15" s="97">
        <v>0</v>
      </c>
      <c r="I15" s="26">
        <f>E15</f>
        <v>20.49</v>
      </c>
      <c r="J15" s="98" t="s">
        <v>350</v>
      </c>
      <c r="K15" s="93"/>
      <c r="L15" s="90">
        <v>20.49</v>
      </c>
      <c r="M15" s="90">
        <v>20.49</v>
      </c>
      <c r="N15" s="90">
        <v>20.49</v>
      </c>
      <c r="O15" s="90">
        <v>20.49</v>
      </c>
      <c r="P15" s="90">
        <v>20.49</v>
      </c>
      <c r="Q15" s="90">
        <v>20.49</v>
      </c>
      <c r="R15" s="90">
        <v>20.49</v>
      </c>
      <c r="S15" s="90">
        <v>20.49</v>
      </c>
      <c r="T15" s="90">
        <v>20.49</v>
      </c>
      <c r="U15" s="90">
        <v>20.49</v>
      </c>
      <c r="V15" s="90">
        <v>20.49</v>
      </c>
      <c r="W15" s="89">
        <v>20.49</v>
      </c>
      <c r="X15" s="51"/>
      <c r="Y15" s="92" t="s">
        <v>349</v>
      </c>
      <c r="Z15" s="93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89"/>
    </row>
    <row r="16" spans="1:38" ht="12.75">
      <c r="A16" s="9"/>
      <c r="B16" s="10"/>
      <c r="C16" s="33"/>
      <c r="D16" s="99"/>
      <c r="E16" s="11"/>
      <c r="F16" s="100"/>
      <c r="I16" s="26" t="s">
        <v>6</v>
      </c>
      <c r="J16" s="9"/>
      <c r="K16" s="10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20"/>
      <c r="X16" s="51"/>
      <c r="Y16" s="9"/>
      <c r="Z16" s="10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20"/>
    </row>
    <row r="17" spans="1:38" ht="12.75">
      <c r="A17" s="18" t="s">
        <v>351</v>
      </c>
      <c r="B17" s="10"/>
      <c r="C17" s="33"/>
      <c r="D17" s="101"/>
      <c r="E17" s="22"/>
      <c r="F17" s="102"/>
      <c r="I17" s="26" t="s">
        <v>6</v>
      </c>
      <c r="J17" s="18" t="s">
        <v>351</v>
      </c>
      <c r="K17" s="10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20"/>
      <c r="X17" s="51"/>
      <c r="Y17" s="18" t="s">
        <v>351</v>
      </c>
      <c r="Z17" s="10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20"/>
    </row>
    <row r="18" spans="1:38" ht="12.75">
      <c r="A18" s="13" t="s">
        <v>344</v>
      </c>
      <c r="B18" s="14"/>
      <c r="C18" s="87"/>
      <c r="D18" s="34">
        <f>D13*D14*D15</f>
        <v>0</v>
      </c>
      <c r="E18" s="14">
        <f>E13*E14*E15</f>
        <v>963029.9999999999</v>
      </c>
      <c r="F18" s="19">
        <f>F13*F14*F15</f>
        <v>0</v>
      </c>
      <c r="I18" s="26">
        <f aca="true" t="shared" si="0" ref="I18:I51">E18</f>
        <v>963029.9999999999</v>
      </c>
      <c r="J18" s="13" t="s">
        <v>344</v>
      </c>
      <c r="K18" s="14"/>
      <c r="L18" s="30">
        <f aca="true" t="shared" si="1" ref="L18:W18">L13*L14*L15</f>
        <v>81960</v>
      </c>
      <c r="M18" s="30">
        <f t="shared" si="1"/>
        <v>86058</v>
      </c>
      <c r="N18" s="30">
        <f t="shared" si="1"/>
        <v>81960</v>
      </c>
      <c r="O18" s="30">
        <f t="shared" si="1"/>
        <v>81960</v>
      </c>
      <c r="P18" s="30">
        <f t="shared" si="1"/>
        <v>81960</v>
      </c>
      <c r="Q18" s="30">
        <f t="shared" si="1"/>
        <v>86058</v>
      </c>
      <c r="R18" s="30">
        <f t="shared" si="1"/>
        <v>86058</v>
      </c>
      <c r="S18" s="30">
        <f t="shared" si="1"/>
        <v>86058</v>
      </c>
      <c r="T18" s="30">
        <f t="shared" si="1"/>
        <v>61469.99999999999</v>
      </c>
      <c r="U18" s="30">
        <f t="shared" si="1"/>
        <v>61469.99999999999</v>
      </c>
      <c r="V18" s="30">
        <f t="shared" si="1"/>
        <v>86058</v>
      </c>
      <c r="W18" s="19">
        <f t="shared" si="1"/>
        <v>86058</v>
      </c>
      <c r="X18" s="51"/>
      <c r="Y18" s="13" t="s">
        <v>344</v>
      </c>
      <c r="Z18" s="14"/>
      <c r="AA18" s="30">
        <f aca="true" t="shared" si="2" ref="AA18:AL18">AA13*AA14*AA15</f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0">
        <f t="shared" si="2"/>
        <v>0</v>
      </c>
      <c r="AJ18" s="30">
        <f t="shared" si="2"/>
        <v>0</v>
      </c>
      <c r="AK18" s="30">
        <f t="shared" si="2"/>
        <v>0</v>
      </c>
      <c r="AL18" s="19">
        <f t="shared" si="2"/>
        <v>0</v>
      </c>
    </row>
    <row r="19" spans="1:38" ht="12.75">
      <c r="A19" s="103" t="s">
        <v>6</v>
      </c>
      <c r="B19" s="104"/>
      <c r="C19" s="87"/>
      <c r="D19" s="91"/>
      <c r="E19" s="47"/>
      <c r="F19" s="89"/>
      <c r="I19" s="26">
        <f t="shared" si="0"/>
        <v>0</v>
      </c>
      <c r="J19" s="13" t="s">
        <v>352</v>
      </c>
      <c r="K19" s="1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89"/>
      <c r="X19" s="51"/>
      <c r="Y19" s="13" t="s">
        <v>352</v>
      </c>
      <c r="Z19" s="14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89"/>
    </row>
    <row r="20" spans="1:38" ht="12.75">
      <c r="A20" s="105" t="s">
        <v>6</v>
      </c>
      <c r="B20" s="47"/>
      <c r="C20" s="87"/>
      <c r="D20" s="91"/>
      <c r="E20" s="47"/>
      <c r="F20" s="89"/>
      <c r="I20" s="26">
        <f t="shared" si="0"/>
        <v>0</v>
      </c>
      <c r="J20" s="105" t="s">
        <v>6</v>
      </c>
      <c r="K20" s="47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89"/>
      <c r="X20" s="51"/>
      <c r="Y20" s="105" t="s">
        <v>6</v>
      </c>
      <c r="Z20" s="47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89"/>
    </row>
    <row r="21" spans="1:38" ht="12.75">
      <c r="A21" s="105" t="s">
        <v>6</v>
      </c>
      <c r="B21" s="47"/>
      <c r="C21" s="87"/>
      <c r="D21" s="106" t="s">
        <v>6</v>
      </c>
      <c r="E21" s="15" t="s">
        <v>6</v>
      </c>
      <c r="F21" s="23" t="s">
        <v>6</v>
      </c>
      <c r="I21" s="26" t="str">
        <f t="shared" si="0"/>
        <v> </v>
      </c>
      <c r="J21" s="105" t="s">
        <v>6</v>
      </c>
      <c r="K21" s="47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89"/>
      <c r="X21" s="51"/>
      <c r="Y21" s="105" t="s">
        <v>6</v>
      </c>
      <c r="Z21" s="47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89"/>
    </row>
    <row r="22" spans="1:38" ht="12.75">
      <c r="A22" s="105" t="s">
        <v>6</v>
      </c>
      <c r="B22" s="47"/>
      <c r="C22" s="87"/>
      <c r="D22" s="106" t="s">
        <v>6</v>
      </c>
      <c r="E22" s="15"/>
      <c r="F22" s="23" t="s">
        <v>6</v>
      </c>
      <c r="I22" s="26">
        <f t="shared" si="0"/>
        <v>0</v>
      </c>
      <c r="J22" s="105" t="s">
        <v>6</v>
      </c>
      <c r="K22" s="47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89"/>
      <c r="X22" s="51"/>
      <c r="Y22" s="105" t="s">
        <v>6</v>
      </c>
      <c r="Z22" s="47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89"/>
    </row>
    <row r="23" spans="1:38" ht="12.75">
      <c r="A23" s="105" t="s">
        <v>6</v>
      </c>
      <c r="B23" s="47"/>
      <c r="C23" s="87"/>
      <c r="D23" s="91"/>
      <c r="E23" s="47"/>
      <c r="F23" s="89" t="s">
        <v>6</v>
      </c>
      <c r="I23" s="26">
        <f t="shared" si="0"/>
        <v>0</v>
      </c>
      <c r="J23" s="105" t="s">
        <v>6</v>
      </c>
      <c r="K23" s="47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89"/>
      <c r="X23" s="51"/>
      <c r="Y23" s="105" t="s">
        <v>6</v>
      </c>
      <c r="Z23" s="47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89"/>
    </row>
    <row r="24" spans="1:38" ht="13.5" thickBot="1">
      <c r="A24" s="105" t="s">
        <v>6</v>
      </c>
      <c r="B24" s="47"/>
      <c r="C24" s="87"/>
      <c r="D24" s="91"/>
      <c r="E24" s="47"/>
      <c r="F24" s="89"/>
      <c r="I24" s="26">
        <f t="shared" si="0"/>
        <v>0</v>
      </c>
      <c r="J24" s="105" t="s">
        <v>6</v>
      </c>
      <c r="K24" s="47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20"/>
      <c r="X24" s="51"/>
      <c r="Y24" s="105" t="s">
        <v>6</v>
      </c>
      <c r="Z24" s="47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20"/>
    </row>
    <row r="25" spans="1:38" ht="14.25" thickBot="1" thickTop="1">
      <c r="A25" s="107" t="s">
        <v>353</v>
      </c>
      <c r="B25" s="108"/>
      <c r="C25" s="109">
        <f>SUM(C18:C24)</f>
        <v>0</v>
      </c>
      <c r="D25" s="110">
        <f>SUM(D18:D24)</f>
        <v>0</v>
      </c>
      <c r="E25" s="108">
        <f>SUM(E18:E24)</f>
        <v>963029.9999999999</v>
      </c>
      <c r="F25" s="111">
        <f>SUM(F18:F24)</f>
        <v>0</v>
      </c>
      <c r="I25" s="26">
        <f t="shared" si="0"/>
        <v>963029.9999999999</v>
      </c>
      <c r="J25" s="107" t="s">
        <v>353</v>
      </c>
      <c r="K25" s="108"/>
      <c r="L25" s="112">
        <f aca="true" t="shared" si="3" ref="L25:W25">SUM(L18:L24)</f>
        <v>81960</v>
      </c>
      <c r="M25" s="112">
        <f t="shared" si="3"/>
        <v>86058</v>
      </c>
      <c r="N25" s="112">
        <f t="shared" si="3"/>
        <v>81960</v>
      </c>
      <c r="O25" s="112">
        <f t="shared" si="3"/>
        <v>81960</v>
      </c>
      <c r="P25" s="112">
        <f t="shared" si="3"/>
        <v>81960</v>
      </c>
      <c r="Q25" s="112">
        <f t="shared" si="3"/>
        <v>86058</v>
      </c>
      <c r="R25" s="112">
        <f t="shared" si="3"/>
        <v>86058</v>
      </c>
      <c r="S25" s="112">
        <f t="shared" si="3"/>
        <v>86058</v>
      </c>
      <c r="T25" s="112">
        <f t="shared" si="3"/>
        <v>61469.99999999999</v>
      </c>
      <c r="U25" s="112">
        <f t="shared" si="3"/>
        <v>61469.99999999999</v>
      </c>
      <c r="V25" s="112">
        <f t="shared" si="3"/>
        <v>86058</v>
      </c>
      <c r="W25" s="113">
        <f t="shared" si="3"/>
        <v>86058</v>
      </c>
      <c r="X25" s="51"/>
      <c r="Y25" s="107" t="s">
        <v>353</v>
      </c>
      <c r="Z25" s="108"/>
      <c r="AA25" s="30">
        <f aca="true" t="shared" si="4" ref="AA25:AL25">SUM(AA18:AA24)</f>
        <v>0</v>
      </c>
      <c r="AB25" s="30">
        <f t="shared" si="4"/>
        <v>0</v>
      </c>
      <c r="AC25" s="30">
        <f t="shared" si="4"/>
        <v>0</v>
      </c>
      <c r="AD25" s="30">
        <f t="shared" si="4"/>
        <v>0</v>
      </c>
      <c r="AE25" s="30">
        <f t="shared" si="4"/>
        <v>0</v>
      </c>
      <c r="AF25" s="30">
        <f t="shared" si="4"/>
        <v>0</v>
      </c>
      <c r="AG25" s="30">
        <f t="shared" si="4"/>
        <v>0</v>
      </c>
      <c r="AH25" s="30">
        <f t="shared" si="4"/>
        <v>0</v>
      </c>
      <c r="AI25" s="30">
        <f t="shared" si="4"/>
        <v>0</v>
      </c>
      <c r="AJ25" s="30">
        <f t="shared" si="4"/>
        <v>0</v>
      </c>
      <c r="AK25" s="30">
        <f t="shared" si="4"/>
        <v>0</v>
      </c>
      <c r="AL25" s="19">
        <f t="shared" si="4"/>
        <v>0</v>
      </c>
    </row>
    <row r="26" spans="1:38" ht="13.5" thickTop="1">
      <c r="A26" s="9"/>
      <c r="B26" s="10"/>
      <c r="C26" s="31" t="s">
        <v>354</v>
      </c>
      <c r="D26" s="114" t="s">
        <v>355</v>
      </c>
      <c r="E26" s="115">
        <f>E11</f>
        <v>1993</v>
      </c>
      <c r="F26" s="45">
        <f>F11</f>
        <v>1994</v>
      </c>
      <c r="I26" s="26">
        <f t="shared" si="0"/>
        <v>1993</v>
      </c>
      <c r="J26" s="9"/>
      <c r="K26" s="10"/>
      <c r="L26" s="116" t="str">
        <f aca="true" t="shared" si="5" ref="L26:W26">L11</f>
        <v>April</v>
      </c>
      <c r="M26" s="116" t="str">
        <f t="shared" si="5"/>
        <v>May</v>
      </c>
      <c r="N26" s="116" t="str">
        <f t="shared" si="5"/>
        <v>June</v>
      </c>
      <c r="O26" s="116" t="str">
        <f t="shared" si="5"/>
        <v>July</v>
      </c>
      <c r="P26" s="116" t="str">
        <f t="shared" si="5"/>
        <v>August</v>
      </c>
      <c r="Q26" s="116" t="str">
        <f t="shared" si="5"/>
        <v>September</v>
      </c>
      <c r="R26" s="116" t="str">
        <f t="shared" si="5"/>
        <v>October</v>
      </c>
      <c r="S26" s="116" t="str">
        <f t="shared" si="5"/>
        <v>November</v>
      </c>
      <c r="T26" s="116" t="str">
        <f t="shared" si="5"/>
        <v>December</v>
      </c>
      <c r="U26" s="116" t="str">
        <f t="shared" si="5"/>
        <v>January</v>
      </c>
      <c r="V26" s="116" t="str">
        <f t="shared" si="5"/>
        <v>February</v>
      </c>
      <c r="W26" s="117" t="str">
        <f t="shared" si="5"/>
        <v>March</v>
      </c>
      <c r="X26" s="51"/>
      <c r="Y26" s="9"/>
      <c r="Z26" s="10"/>
      <c r="AA26" s="118" t="str">
        <f aca="true" t="shared" si="6" ref="AA26:AL26">AA11</f>
        <v>April</v>
      </c>
      <c r="AB26" s="118" t="str">
        <f t="shared" si="6"/>
        <v>May</v>
      </c>
      <c r="AC26" s="118" t="str">
        <f t="shared" si="6"/>
        <v>June</v>
      </c>
      <c r="AD26" s="118" t="str">
        <f t="shared" si="6"/>
        <v>July</v>
      </c>
      <c r="AE26" s="118" t="str">
        <f t="shared" si="6"/>
        <v>August</v>
      </c>
      <c r="AF26" s="118" t="str">
        <f t="shared" si="6"/>
        <v>September</v>
      </c>
      <c r="AG26" s="118" t="str">
        <f t="shared" si="6"/>
        <v>October</v>
      </c>
      <c r="AH26" s="118" t="str">
        <f t="shared" si="6"/>
        <v>November</v>
      </c>
      <c r="AI26" s="118" t="str">
        <f t="shared" si="6"/>
        <v>December</v>
      </c>
      <c r="AJ26" s="118" t="str">
        <f t="shared" si="6"/>
        <v>January</v>
      </c>
      <c r="AK26" s="118" t="str">
        <f t="shared" si="6"/>
        <v>February</v>
      </c>
      <c r="AL26" s="119" t="str">
        <f t="shared" si="6"/>
        <v>March</v>
      </c>
    </row>
    <row r="27" spans="1:38" ht="12.75">
      <c r="A27" s="18" t="s">
        <v>356</v>
      </c>
      <c r="B27" s="10"/>
      <c r="C27" s="120" t="s">
        <v>345</v>
      </c>
      <c r="D27" s="114" t="s">
        <v>357</v>
      </c>
      <c r="E27" s="10"/>
      <c r="F27" s="25"/>
      <c r="I27" s="26">
        <f t="shared" si="0"/>
        <v>0</v>
      </c>
      <c r="J27" s="18" t="s">
        <v>356</v>
      </c>
      <c r="K27" s="10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29"/>
      <c r="X27" s="51"/>
      <c r="Y27" s="18" t="s">
        <v>356</v>
      </c>
      <c r="Z27" s="10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20"/>
    </row>
    <row r="28" spans="1:38" ht="12.75">
      <c r="A28" s="36" t="s">
        <v>358</v>
      </c>
      <c r="B28" s="14"/>
      <c r="C28" s="121"/>
      <c r="D28" s="122" t="e">
        <f>'1. JOB COST SUMMARY'!$B$69+#REF!</f>
        <v>#REF!</v>
      </c>
      <c r="E28" s="123">
        <v>55000</v>
      </c>
      <c r="F28" s="49">
        <v>0</v>
      </c>
      <c r="I28" s="26">
        <f t="shared" si="0"/>
        <v>55000</v>
      </c>
      <c r="J28" s="36" t="s">
        <v>358</v>
      </c>
      <c r="K28" s="14"/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5">
        <v>0</v>
      </c>
      <c r="X28" s="51"/>
      <c r="Y28" s="36" t="s">
        <v>358</v>
      </c>
      <c r="Z28" s="14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89"/>
    </row>
    <row r="29" spans="1:38" ht="12.75">
      <c r="A29" s="36" t="s">
        <v>359</v>
      </c>
      <c r="B29" s="14"/>
      <c r="C29" s="121"/>
      <c r="D29" s="122" t="e">
        <f>'1. JOB COST SUMMARY'!$B$70+#REF!</f>
        <v>#REF!</v>
      </c>
      <c r="E29" s="123">
        <v>80000</v>
      </c>
      <c r="F29" s="49">
        <v>0</v>
      </c>
      <c r="I29" s="26">
        <f t="shared" si="0"/>
        <v>80000</v>
      </c>
      <c r="J29" s="36" t="s">
        <v>359</v>
      </c>
      <c r="K29" s="14"/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5">
        <v>0</v>
      </c>
      <c r="X29" s="51"/>
      <c r="Y29" s="36" t="s">
        <v>359</v>
      </c>
      <c r="Z29" s="14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89"/>
    </row>
    <row r="30" spans="1:38" ht="12.75">
      <c r="A30" s="36" t="s">
        <v>360</v>
      </c>
      <c r="B30" s="14"/>
      <c r="C30" s="121"/>
      <c r="D30" s="122" t="e">
        <f>'1. JOB COST SUMMARY'!$B$75+#REF!</f>
        <v>#REF!</v>
      </c>
      <c r="E30" s="123">
        <v>31000</v>
      </c>
      <c r="F30" s="49">
        <v>0</v>
      </c>
      <c r="I30" s="26">
        <f t="shared" si="0"/>
        <v>31000</v>
      </c>
      <c r="J30" s="36" t="s">
        <v>360</v>
      </c>
      <c r="K30" s="14"/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5">
        <v>0</v>
      </c>
      <c r="X30" s="51"/>
      <c r="Y30" s="36" t="s">
        <v>360</v>
      </c>
      <c r="Z30" s="14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89"/>
    </row>
    <row r="31" spans="1:38" ht="12.75">
      <c r="A31" s="36" t="s">
        <v>361</v>
      </c>
      <c r="B31" s="14"/>
      <c r="C31" s="121"/>
      <c r="D31" s="122" t="e">
        <f>'1. JOB COST SUMMARY'!$B$76+#REF!</f>
        <v>#REF!</v>
      </c>
      <c r="E31" s="123">
        <v>6800</v>
      </c>
      <c r="F31" s="49">
        <v>0</v>
      </c>
      <c r="I31" s="26">
        <f t="shared" si="0"/>
        <v>6800</v>
      </c>
      <c r="J31" s="36" t="s">
        <v>361</v>
      </c>
      <c r="K31" s="14"/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5">
        <v>0</v>
      </c>
      <c r="X31" s="51"/>
      <c r="Y31" s="36" t="s">
        <v>361</v>
      </c>
      <c r="Z31" s="14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89"/>
    </row>
    <row r="32" spans="1:38" ht="12.75">
      <c r="A32" s="126"/>
      <c r="B32" s="47"/>
      <c r="C32" s="121"/>
      <c r="D32" s="127"/>
      <c r="E32" s="123"/>
      <c r="F32" s="49"/>
      <c r="I32" s="26">
        <f t="shared" si="0"/>
        <v>0</v>
      </c>
      <c r="J32" s="126"/>
      <c r="K32" s="47"/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5">
        <v>0</v>
      </c>
      <c r="X32" s="51"/>
      <c r="Y32" s="126"/>
      <c r="Z32" s="47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89"/>
    </row>
    <row r="33" spans="1:38" ht="12.75">
      <c r="A33" s="36" t="s">
        <v>362</v>
      </c>
      <c r="B33" s="14"/>
      <c r="C33" s="121"/>
      <c r="D33" s="122" t="e">
        <f>'1. JOB COST SUMMARY'!$B$74</f>
        <v>#REF!</v>
      </c>
      <c r="E33" s="123">
        <v>5700</v>
      </c>
      <c r="F33" s="49">
        <v>0</v>
      </c>
      <c r="I33" s="26">
        <f t="shared" si="0"/>
        <v>5700</v>
      </c>
      <c r="J33" s="36" t="s">
        <v>362</v>
      </c>
      <c r="K33" s="14"/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5">
        <v>0</v>
      </c>
      <c r="X33" s="51"/>
      <c r="Y33" s="36" t="s">
        <v>362</v>
      </c>
      <c r="Z33" s="14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89"/>
    </row>
    <row r="34" spans="1:38" ht="12.75">
      <c r="A34" s="126"/>
      <c r="B34" s="47"/>
      <c r="C34" s="121"/>
      <c r="D34" s="127"/>
      <c r="E34" s="123"/>
      <c r="F34" s="49"/>
      <c r="I34" s="26">
        <f t="shared" si="0"/>
        <v>0</v>
      </c>
      <c r="J34" s="126"/>
      <c r="K34" s="47"/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5">
        <v>0</v>
      </c>
      <c r="X34" s="51"/>
      <c r="Y34" s="126"/>
      <c r="Z34" s="47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89"/>
    </row>
    <row r="35" spans="1:38" ht="12.75">
      <c r="A35" s="126"/>
      <c r="B35" s="47"/>
      <c r="C35" s="121"/>
      <c r="D35" s="127"/>
      <c r="E35" s="123"/>
      <c r="F35" s="49"/>
      <c r="I35" s="26">
        <f t="shared" si="0"/>
        <v>0</v>
      </c>
      <c r="J35" s="126"/>
      <c r="K35" s="47"/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5">
        <v>0</v>
      </c>
      <c r="X35" s="51"/>
      <c r="Y35" s="126"/>
      <c r="Z35" s="47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89"/>
    </row>
    <row r="36" spans="1:38" ht="12.75">
      <c r="A36" s="126" t="s">
        <v>6</v>
      </c>
      <c r="B36" s="47"/>
      <c r="C36" s="121"/>
      <c r="D36" s="91"/>
      <c r="E36" s="47"/>
      <c r="F36" s="89"/>
      <c r="I36" s="26">
        <f t="shared" si="0"/>
        <v>0</v>
      </c>
      <c r="J36" s="126" t="s">
        <v>6</v>
      </c>
      <c r="K36" s="47"/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5">
        <v>0</v>
      </c>
      <c r="X36" s="51"/>
      <c r="Y36" s="126" t="s">
        <v>6</v>
      </c>
      <c r="Z36" s="47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89"/>
    </row>
    <row r="37" spans="1:38" ht="12.75">
      <c r="A37" s="36" t="s">
        <v>80</v>
      </c>
      <c r="B37" s="14"/>
      <c r="C37" s="121"/>
      <c r="D37" s="122">
        <f>'1. JOB COST SUMMARY'!$B$71</f>
        <v>40154.388855</v>
      </c>
      <c r="E37" s="123">
        <v>19000</v>
      </c>
      <c r="F37" s="49">
        <v>0</v>
      </c>
      <c r="I37" s="26">
        <f t="shared" si="0"/>
        <v>19000</v>
      </c>
      <c r="J37" s="36" t="s">
        <v>80</v>
      </c>
      <c r="K37" s="14"/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5">
        <v>0</v>
      </c>
      <c r="X37" s="51"/>
      <c r="Y37" s="36" t="s">
        <v>80</v>
      </c>
      <c r="Z37" s="14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89"/>
    </row>
    <row r="38" spans="1:38" ht="12.75">
      <c r="A38" s="36" t="s">
        <v>90</v>
      </c>
      <c r="B38" s="14"/>
      <c r="C38" s="121"/>
      <c r="D38" s="122">
        <f>'1. JOB COST SUMMARY'!$B$72</f>
        <v>27466.666666666668</v>
      </c>
      <c r="E38" s="123">
        <v>26600</v>
      </c>
      <c r="F38" s="49">
        <v>0</v>
      </c>
      <c r="I38" s="26">
        <f t="shared" si="0"/>
        <v>26600</v>
      </c>
      <c r="J38" s="36" t="s">
        <v>90</v>
      </c>
      <c r="K38" s="14"/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5">
        <v>0</v>
      </c>
      <c r="X38" s="51"/>
      <c r="Y38" s="36" t="s">
        <v>90</v>
      </c>
      <c r="Z38" s="14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89"/>
    </row>
    <row r="39" spans="1:38" ht="12.75">
      <c r="A39" s="36" t="s">
        <v>363</v>
      </c>
      <c r="B39" s="14"/>
      <c r="C39" s="121"/>
      <c r="D39" s="122" t="e">
        <f>'1. JOB COST SUMMARY'!$B$73+#REF!</f>
        <v>#REF!</v>
      </c>
      <c r="E39" s="123">
        <v>13000</v>
      </c>
      <c r="F39" s="49">
        <v>0</v>
      </c>
      <c r="I39" s="26">
        <f t="shared" si="0"/>
        <v>13000</v>
      </c>
      <c r="J39" s="36" t="s">
        <v>363</v>
      </c>
      <c r="K39" s="14"/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5">
        <v>0</v>
      </c>
      <c r="X39" s="51"/>
      <c r="Y39" s="36" t="s">
        <v>363</v>
      </c>
      <c r="Z39" s="14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89"/>
    </row>
    <row r="40" spans="1:38" ht="12.75">
      <c r="A40" s="36" t="s">
        <v>364</v>
      </c>
      <c r="B40" s="128"/>
      <c r="C40" s="121"/>
      <c r="D40" s="122" t="e">
        <f>'1. JOB COST SUMMARY'!$B$77</f>
        <v>#REF!</v>
      </c>
      <c r="E40" s="123">
        <v>1400</v>
      </c>
      <c r="F40" s="49">
        <v>0</v>
      </c>
      <c r="I40" s="26">
        <f t="shared" si="0"/>
        <v>1400</v>
      </c>
      <c r="J40" s="36" t="s">
        <v>364</v>
      </c>
      <c r="K40" s="128"/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5">
        <v>0</v>
      </c>
      <c r="X40" s="51"/>
      <c r="Y40" s="36" t="s">
        <v>364</v>
      </c>
      <c r="Z40" s="128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89"/>
    </row>
    <row r="41" spans="1:38" ht="12.75">
      <c r="A41" s="129" t="s">
        <v>6</v>
      </c>
      <c r="B41" s="130"/>
      <c r="C41" s="121"/>
      <c r="D41" s="127"/>
      <c r="E41" s="123"/>
      <c r="F41" s="49"/>
      <c r="I41" s="26">
        <f t="shared" si="0"/>
        <v>0</v>
      </c>
      <c r="J41" s="129" t="s">
        <v>6</v>
      </c>
      <c r="K41" s="130"/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5">
        <v>0</v>
      </c>
      <c r="X41" s="51"/>
      <c r="Y41" s="129" t="s">
        <v>6</v>
      </c>
      <c r="Z41" s="13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89"/>
    </row>
    <row r="42" spans="1:38" ht="12.75">
      <c r="A42" s="131" t="s">
        <v>6</v>
      </c>
      <c r="B42" s="17"/>
      <c r="C42" s="121"/>
      <c r="D42" s="132" t="s">
        <v>6</v>
      </c>
      <c r="E42" s="133">
        <v>0</v>
      </c>
      <c r="F42" s="134">
        <v>0</v>
      </c>
      <c r="I42" s="26">
        <f t="shared" si="0"/>
        <v>0</v>
      </c>
      <c r="J42" s="131" t="s">
        <v>6</v>
      </c>
      <c r="K42" s="17"/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5">
        <v>0</v>
      </c>
      <c r="X42" s="51"/>
      <c r="Y42" s="131" t="s">
        <v>6</v>
      </c>
      <c r="Z42" s="17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89"/>
    </row>
    <row r="43" spans="1:38" ht="12.75">
      <c r="A43" s="135" t="s">
        <v>365</v>
      </c>
      <c r="B43" s="10"/>
      <c r="C43" s="136" t="s">
        <v>366</v>
      </c>
      <c r="D43" s="137" t="str">
        <f>D26</f>
        <v>From the Job</v>
      </c>
      <c r="E43" s="138">
        <f>E11</f>
        <v>1993</v>
      </c>
      <c r="F43" s="39">
        <f>F26</f>
        <v>1994</v>
      </c>
      <c r="I43" s="26">
        <f t="shared" si="0"/>
        <v>1993</v>
      </c>
      <c r="J43" s="135" t="s">
        <v>365</v>
      </c>
      <c r="K43" s="10"/>
      <c r="L43" s="139" t="str">
        <f aca="true" t="shared" si="7" ref="L43:W43">L26</f>
        <v>April</v>
      </c>
      <c r="M43" s="139" t="str">
        <f t="shared" si="7"/>
        <v>May</v>
      </c>
      <c r="N43" s="139" t="str">
        <f t="shared" si="7"/>
        <v>June</v>
      </c>
      <c r="O43" s="139" t="str">
        <f t="shared" si="7"/>
        <v>July</v>
      </c>
      <c r="P43" s="139" t="str">
        <f t="shared" si="7"/>
        <v>August</v>
      </c>
      <c r="Q43" s="139" t="str">
        <f t="shared" si="7"/>
        <v>September</v>
      </c>
      <c r="R43" s="139" t="str">
        <f t="shared" si="7"/>
        <v>October</v>
      </c>
      <c r="S43" s="139" t="str">
        <f t="shared" si="7"/>
        <v>November</v>
      </c>
      <c r="T43" s="139" t="str">
        <f t="shared" si="7"/>
        <v>December</v>
      </c>
      <c r="U43" s="139" t="str">
        <f t="shared" si="7"/>
        <v>January</v>
      </c>
      <c r="V43" s="139" t="str">
        <f t="shared" si="7"/>
        <v>February</v>
      </c>
      <c r="W43" s="39" t="str">
        <f t="shared" si="7"/>
        <v>March</v>
      </c>
      <c r="X43" s="51"/>
      <c r="Y43" s="135" t="s">
        <v>365</v>
      </c>
      <c r="Z43" s="10"/>
      <c r="AA43" s="139" t="str">
        <f aca="true" t="shared" si="8" ref="AA43:AL43">AA26</f>
        <v>April</v>
      </c>
      <c r="AB43" s="139" t="str">
        <f t="shared" si="8"/>
        <v>May</v>
      </c>
      <c r="AC43" s="139" t="str">
        <f t="shared" si="8"/>
        <v>June</v>
      </c>
      <c r="AD43" s="139" t="str">
        <f t="shared" si="8"/>
        <v>July</v>
      </c>
      <c r="AE43" s="139" t="str">
        <f t="shared" si="8"/>
        <v>August</v>
      </c>
      <c r="AF43" s="139" t="str">
        <f t="shared" si="8"/>
        <v>September</v>
      </c>
      <c r="AG43" s="139" t="str">
        <f t="shared" si="8"/>
        <v>October</v>
      </c>
      <c r="AH43" s="139" t="str">
        <f t="shared" si="8"/>
        <v>November</v>
      </c>
      <c r="AI43" s="139" t="str">
        <f t="shared" si="8"/>
        <v>December</v>
      </c>
      <c r="AJ43" s="139" t="str">
        <f t="shared" si="8"/>
        <v>January</v>
      </c>
      <c r="AK43" s="139" t="str">
        <f t="shared" si="8"/>
        <v>February</v>
      </c>
      <c r="AL43" s="39" t="str">
        <f t="shared" si="8"/>
        <v>March</v>
      </c>
    </row>
    <row r="44" spans="1:38" ht="12.75">
      <c r="A44" s="105" t="s">
        <v>6</v>
      </c>
      <c r="B44" s="140"/>
      <c r="C44" s="87"/>
      <c r="D44" s="122" t="e">
        <f>'1. JOB COST SUMMARY'!$O$105+'1. JOB COST SUMMARY'!$AB$105+'1. JOB COST SUMMARY'!$AL$105+'1. JOB COST SUMMARY'!$AV$105+'1. JOB COST SUMMARY'!$BF$105+'1. JOB COST SUMMARY'!$BQ$105+'1. JOB COST SUMMARY'!#REF!+'1. JOB COST SUMMARY'!#REF!</f>
        <v>#REF!</v>
      </c>
      <c r="E44" s="48">
        <v>0</v>
      </c>
      <c r="F44" s="49">
        <v>0</v>
      </c>
      <c r="I44" s="26">
        <f t="shared" si="0"/>
        <v>0</v>
      </c>
      <c r="J44" s="105" t="s">
        <v>6</v>
      </c>
      <c r="K44" s="140"/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5">
        <v>0</v>
      </c>
      <c r="X44" s="51"/>
      <c r="Y44" s="105" t="s">
        <v>6</v>
      </c>
      <c r="Z44" s="14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89"/>
    </row>
    <row r="45" spans="1:38" ht="12.75">
      <c r="A45" s="105"/>
      <c r="B45" s="47"/>
      <c r="C45" s="141"/>
      <c r="D45" s="127"/>
      <c r="E45" s="48">
        <v>0</v>
      </c>
      <c r="F45" s="49"/>
      <c r="I45" s="26">
        <f t="shared" si="0"/>
        <v>0</v>
      </c>
      <c r="J45" s="105"/>
      <c r="K45" s="47"/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5">
        <v>0</v>
      </c>
      <c r="X45" s="51"/>
      <c r="Y45" s="105"/>
      <c r="Z45" s="47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89"/>
    </row>
    <row r="46" spans="1:38" ht="12.75">
      <c r="A46" s="105" t="s">
        <v>190</v>
      </c>
      <c r="B46" s="47"/>
      <c r="C46" s="141"/>
      <c r="D46" s="122" t="e">
        <f>'1. JOB COST SUMMARY'!$B$68</f>
        <v>#REF!</v>
      </c>
      <c r="E46" s="48"/>
      <c r="F46" s="49"/>
      <c r="I46" s="26">
        <f t="shared" si="0"/>
        <v>0</v>
      </c>
      <c r="J46" s="105"/>
      <c r="K46" s="47"/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5">
        <v>0</v>
      </c>
      <c r="X46" s="51"/>
      <c r="Y46" s="105"/>
      <c r="Z46" s="47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89"/>
    </row>
    <row r="47" spans="1:38" ht="12.75">
      <c r="A47" s="36" t="s">
        <v>367</v>
      </c>
      <c r="B47" s="14"/>
      <c r="C47" s="121"/>
      <c r="D47" s="122" t="e">
        <f>'1. JOB COST SUMMARY'!$B$65</f>
        <v>#REF!</v>
      </c>
      <c r="E47" s="123">
        <v>291600</v>
      </c>
      <c r="F47" s="49">
        <v>0</v>
      </c>
      <c r="I47" s="26">
        <f t="shared" si="0"/>
        <v>291600</v>
      </c>
      <c r="J47" s="36" t="s">
        <v>367</v>
      </c>
      <c r="K47" s="14"/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24">
        <v>0</v>
      </c>
      <c r="U47" s="124">
        <v>0</v>
      </c>
      <c r="V47" s="124">
        <v>0</v>
      </c>
      <c r="W47" s="125">
        <v>0</v>
      </c>
      <c r="X47" s="51"/>
      <c r="Y47" s="36" t="s">
        <v>367</v>
      </c>
      <c r="Z47" s="14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89"/>
    </row>
    <row r="48" spans="1:38" ht="12.75">
      <c r="A48" s="36" t="s">
        <v>368</v>
      </c>
      <c r="B48" s="14"/>
      <c r="C48" s="121"/>
      <c r="D48" s="122" t="e">
        <f>'1. JOB COST SUMMARY'!$B$66</f>
        <v>#REF!</v>
      </c>
      <c r="E48" s="123">
        <v>15800</v>
      </c>
      <c r="F48" s="28">
        <f>C66</f>
        <v>15775.560000000001</v>
      </c>
      <c r="I48" s="26">
        <f t="shared" si="0"/>
        <v>15800</v>
      </c>
      <c r="J48" s="36" t="s">
        <v>369</v>
      </c>
      <c r="K48" s="14"/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5">
        <v>0</v>
      </c>
      <c r="X48" s="51"/>
      <c r="Y48" s="36" t="s">
        <v>369</v>
      </c>
      <c r="Z48" s="14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89"/>
    </row>
    <row r="49" spans="1:38" ht="12.75">
      <c r="A49" s="36" t="s">
        <v>370</v>
      </c>
      <c r="B49" s="14"/>
      <c r="C49" s="121"/>
      <c r="D49" s="122" t="e">
        <f>'1. JOB COST SUMMARY'!$B$67</f>
        <v>#REF!</v>
      </c>
      <c r="E49" s="123">
        <v>30535</v>
      </c>
      <c r="F49" s="49">
        <v>0</v>
      </c>
      <c r="I49" s="26">
        <f t="shared" si="0"/>
        <v>30535</v>
      </c>
      <c r="J49" s="36" t="s">
        <v>370</v>
      </c>
      <c r="K49" s="14"/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24">
        <v>0</v>
      </c>
      <c r="V49" s="124">
        <v>0</v>
      </c>
      <c r="W49" s="125">
        <v>0</v>
      </c>
      <c r="X49" s="51"/>
      <c r="Y49" s="36" t="s">
        <v>370</v>
      </c>
      <c r="Z49" s="14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89"/>
    </row>
    <row r="50" spans="1:38" ht="13.5" thickBot="1">
      <c r="A50" s="36" t="s">
        <v>371</v>
      </c>
      <c r="B50" s="14"/>
      <c r="C50" s="141"/>
      <c r="D50" s="127"/>
      <c r="E50" s="48">
        <v>5410</v>
      </c>
      <c r="F50" s="28" t="e">
        <f>C67</f>
        <v>#REF!</v>
      </c>
      <c r="I50" s="26">
        <f t="shared" si="0"/>
        <v>5410</v>
      </c>
      <c r="J50" s="36" t="s">
        <v>371</v>
      </c>
      <c r="K50" s="14"/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5">
        <v>0</v>
      </c>
      <c r="X50" s="51"/>
      <c r="Y50" s="36" t="s">
        <v>371</v>
      </c>
      <c r="Z50" s="14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89"/>
    </row>
    <row r="51" spans="1:38" ht="13.5" thickBot="1">
      <c r="A51" s="142" t="s">
        <v>372</v>
      </c>
      <c r="B51" s="143"/>
      <c r="C51" s="144">
        <f>SUM(C28:C42,C44:C50)</f>
        <v>0</v>
      </c>
      <c r="D51" s="145" t="s">
        <v>6</v>
      </c>
      <c r="E51" s="146">
        <f>SUM(E28:E42,E44:E50)</f>
        <v>581845</v>
      </c>
      <c r="F51" s="147" t="e">
        <f>SUM(F28:F42,F44:F50)</f>
        <v>#REF!</v>
      </c>
      <c r="I51" s="26">
        <f t="shared" si="0"/>
        <v>581845</v>
      </c>
      <c r="J51" s="148" t="s">
        <v>372</v>
      </c>
      <c r="K51" s="108"/>
      <c r="L51" s="149">
        <f aca="true" t="shared" si="9" ref="L51:W51">SUM(L28:L42,L44:L50)</f>
        <v>0</v>
      </c>
      <c r="M51" s="149">
        <f t="shared" si="9"/>
        <v>0</v>
      </c>
      <c r="N51" s="149">
        <f t="shared" si="9"/>
        <v>0</v>
      </c>
      <c r="O51" s="149">
        <f t="shared" si="9"/>
        <v>0</v>
      </c>
      <c r="P51" s="149">
        <f t="shared" si="9"/>
        <v>0</v>
      </c>
      <c r="Q51" s="149">
        <f t="shared" si="9"/>
        <v>0</v>
      </c>
      <c r="R51" s="149">
        <f t="shared" si="9"/>
        <v>0</v>
      </c>
      <c r="S51" s="149">
        <f t="shared" si="9"/>
        <v>0</v>
      </c>
      <c r="T51" s="149">
        <f t="shared" si="9"/>
        <v>0</v>
      </c>
      <c r="U51" s="149">
        <f t="shared" si="9"/>
        <v>0</v>
      </c>
      <c r="V51" s="149">
        <f t="shared" si="9"/>
        <v>0</v>
      </c>
      <c r="W51" s="147">
        <f t="shared" si="9"/>
        <v>0</v>
      </c>
      <c r="X51" s="51"/>
      <c r="Y51" s="142" t="s">
        <v>372</v>
      </c>
      <c r="Z51" s="143"/>
      <c r="AA51" s="147">
        <f aca="true" t="shared" si="10" ref="AA51:AL51">SUM(AA28:AA42,AA44:AA50)</f>
        <v>0</v>
      </c>
      <c r="AB51" s="147">
        <f t="shared" si="10"/>
        <v>0</v>
      </c>
      <c r="AC51" s="147">
        <f t="shared" si="10"/>
        <v>0</v>
      </c>
      <c r="AD51" s="147">
        <f t="shared" si="10"/>
        <v>0</v>
      </c>
      <c r="AE51" s="147">
        <f t="shared" si="10"/>
        <v>0</v>
      </c>
      <c r="AF51" s="147">
        <f t="shared" si="10"/>
        <v>0</v>
      </c>
      <c r="AG51" s="147">
        <f t="shared" si="10"/>
        <v>0</v>
      </c>
      <c r="AH51" s="147">
        <f t="shared" si="10"/>
        <v>0</v>
      </c>
      <c r="AI51" s="147">
        <f t="shared" si="10"/>
        <v>0</v>
      </c>
      <c r="AJ51" s="147">
        <f t="shared" si="10"/>
        <v>0</v>
      </c>
      <c r="AK51" s="147">
        <f t="shared" si="10"/>
        <v>0</v>
      </c>
      <c r="AL51" s="147">
        <f t="shared" si="10"/>
        <v>0</v>
      </c>
    </row>
    <row r="52" spans="1:38" ht="13.5" thickBot="1">
      <c r="A52" s="150"/>
      <c r="B52" s="22"/>
      <c r="C52" s="22"/>
      <c r="D52" s="151"/>
      <c r="E52" s="151"/>
      <c r="F52" s="152"/>
      <c r="I52" s="26" t="s">
        <v>6</v>
      </c>
      <c r="J52" s="150"/>
      <c r="K52" s="22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02"/>
      <c r="X52" s="51"/>
      <c r="Y52" s="150"/>
      <c r="Z52" s="22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02"/>
    </row>
    <row r="53" spans="1:38" ht="13.5" thickBot="1">
      <c r="A53" s="142" t="s">
        <v>373</v>
      </c>
      <c r="B53" s="143"/>
      <c r="C53" s="144">
        <f>C25-C51</f>
        <v>0</v>
      </c>
      <c r="D53" s="145" t="s">
        <v>6</v>
      </c>
      <c r="E53" s="146">
        <f>E25-E51</f>
        <v>381184.9999999999</v>
      </c>
      <c r="F53" s="147" t="e">
        <f>F25-F51</f>
        <v>#REF!</v>
      </c>
      <c r="I53" s="26">
        <f>E53</f>
        <v>381184.9999999999</v>
      </c>
      <c r="J53" s="142" t="s">
        <v>373</v>
      </c>
      <c r="K53" s="143"/>
      <c r="L53" s="43">
        <f aca="true" t="shared" si="11" ref="L53:W53">L25-L51</f>
        <v>81960</v>
      </c>
      <c r="M53" s="43">
        <f t="shared" si="11"/>
        <v>86058</v>
      </c>
      <c r="N53" s="43">
        <f t="shared" si="11"/>
        <v>81960</v>
      </c>
      <c r="O53" s="43">
        <f t="shared" si="11"/>
        <v>81960</v>
      </c>
      <c r="P53" s="43">
        <f t="shared" si="11"/>
        <v>81960</v>
      </c>
      <c r="Q53" s="43">
        <f t="shared" si="11"/>
        <v>86058</v>
      </c>
      <c r="R53" s="43">
        <f t="shared" si="11"/>
        <v>86058</v>
      </c>
      <c r="S53" s="43">
        <f t="shared" si="11"/>
        <v>86058</v>
      </c>
      <c r="T53" s="43">
        <f t="shared" si="11"/>
        <v>61469.99999999999</v>
      </c>
      <c r="U53" s="43">
        <f t="shared" si="11"/>
        <v>61469.99999999999</v>
      </c>
      <c r="V53" s="43">
        <f t="shared" si="11"/>
        <v>86058</v>
      </c>
      <c r="W53" s="154">
        <f t="shared" si="11"/>
        <v>86058</v>
      </c>
      <c r="X53" s="51"/>
      <c r="Y53" s="142" t="s">
        <v>373</v>
      </c>
      <c r="Z53" s="143"/>
      <c r="AA53" s="43">
        <f aca="true" t="shared" si="12" ref="AA53:AL53">AA25-AA51</f>
        <v>0</v>
      </c>
      <c r="AB53" s="43">
        <f t="shared" si="12"/>
        <v>0</v>
      </c>
      <c r="AC53" s="43">
        <f t="shared" si="12"/>
        <v>0</v>
      </c>
      <c r="AD53" s="43">
        <f t="shared" si="12"/>
        <v>0</v>
      </c>
      <c r="AE53" s="43">
        <f t="shared" si="12"/>
        <v>0</v>
      </c>
      <c r="AF53" s="43">
        <f t="shared" si="12"/>
        <v>0</v>
      </c>
      <c r="AG53" s="43">
        <f t="shared" si="12"/>
        <v>0</v>
      </c>
      <c r="AH53" s="43">
        <f t="shared" si="12"/>
        <v>0</v>
      </c>
      <c r="AI53" s="43">
        <f t="shared" si="12"/>
        <v>0</v>
      </c>
      <c r="AJ53" s="43">
        <f t="shared" si="12"/>
        <v>0</v>
      </c>
      <c r="AK53" s="43">
        <f t="shared" si="12"/>
        <v>0</v>
      </c>
      <c r="AL53" s="154">
        <f t="shared" si="12"/>
        <v>0</v>
      </c>
    </row>
    <row r="54" spans="1:38" ht="13.5" thickBot="1">
      <c r="A54" s="64" t="s">
        <v>374</v>
      </c>
      <c r="B54" s="51"/>
      <c r="C54" s="48"/>
      <c r="D54" s="42"/>
      <c r="E54" s="48">
        <v>34650</v>
      </c>
      <c r="F54" s="154" t="e">
        <f>C64</f>
        <v>#REF!</v>
      </c>
      <c r="I54" s="26">
        <f>E54</f>
        <v>34650</v>
      </c>
      <c r="J54" t="s">
        <v>374</v>
      </c>
      <c r="K54" s="51"/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155">
        <v>0</v>
      </c>
      <c r="X54" s="51"/>
      <c r="Y54" s="64" t="s">
        <v>374</v>
      </c>
      <c r="Z54" s="5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155"/>
    </row>
    <row r="55" spans="1:38" ht="13.5" thickTop="1">
      <c r="A55" s="156" t="s">
        <v>375</v>
      </c>
      <c r="B55" s="2"/>
      <c r="C55" s="157"/>
      <c r="D55" s="158"/>
      <c r="E55" s="159"/>
      <c r="F55" s="160"/>
      <c r="I55" s="26" t="s">
        <v>6</v>
      </c>
      <c r="J55" s="156" t="s">
        <v>376</v>
      </c>
      <c r="K55" s="2"/>
      <c r="L55" s="161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62"/>
      <c r="X55" s="51"/>
      <c r="Y55" s="156" t="s">
        <v>376</v>
      </c>
      <c r="Z55" s="2"/>
      <c r="AA55" s="161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62"/>
    </row>
    <row r="56" spans="1:38" ht="12.75">
      <c r="A56" s="9" t="s">
        <v>377</v>
      </c>
      <c r="B56" s="10"/>
      <c r="C56" s="28">
        <f>E53</f>
        <v>381184.9999999999</v>
      </c>
      <c r="D56" s="158"/>
      <c r="E56" s="159"/>
      <c r="F56" s="160"/>
      <c r="I56" s="26" t="s">
        <v>6</v>
      </c>
      <c r="J56" s="135" t="s">
        <v>378</v>
      </c>
      <c r="K56" s="52"/>
      <c r="L56" s="161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62"/>
      <c r="X56" s="51"/>
      <c r="Y56" s="135" t="s">
        <v>378</v>
      </c>
      <c r="Z56" s="52"/>
      <c r="AA56" s="161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62"/>
    </row>
    <row r="57" spans="1:38" ht="12.75">
      <c r="A57" s="163" t="s">
        <v>379</v>
      </c>
      <c r="B57" s="10"/>
      <c r="C57" s="28" t="e">
        <f>'1. JOB COST SUMMARY'!$O$103+'1. JOB COST SUMMARY'!$AB$103+'1. JOB COST SUMMARY'!$AL$103+'1. JOB COST SUMMARY'!$AV$103+'1. JOB COST SUMMARY'!$BF$103+'1. JOB COST SUMMARY'!$BQ$103+'1. JOB COST SUMMARY'!#REF!+'1. JOB COST SUMMARY'!#REF!</f>
        <v>#REF!</v>
      </c>
      <c r="D57" s="158"/>
      <c r="E57" s="159"/>
      <c r="F57" s="160"/>
      <c r="I57" s="26" t="s">
        <v>6</v>
      </c>
      <c r="J57" s="135" t="s">
        <v>380</v>
      </c>
      <c r="K57" s="52"/>
      <c r="L57" s="161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62"/>
      <c r="X57" s="51"/>
      <c r="Y57" s="135" t="s">
        <v>380</v>
      </c>
      <c r="Z57" s="52"/>
      <c r="AA57" s="161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62"/>
    </row>
    <row r="58" spans="1:38" ht="12.75">
      <c r="A58" s="163" t="s">
        <v>381</v>
      </c>
      <c r="B58" s="10"/>
      <c r="C58" s="28" t="e">
        <f>'1. JOB COST SUMMARY'!$O$97+'1. JOB COST SUMMARY'!$AB$97+'1. JOB COST SUMMARY'!$AL$97+'1. JOB COST SUMMARY'!$AV$97+'1. JOB COST SUMMARY'!$BF$97+'1. JOB COST SUMMARY'!$BQ$97+'1. JOB COST SUMMARY'!#REF!+'1. JOB COST SUMMARY'!#REF!</f>
        <v>#REF!</v>
      </c>
      <c r="D58" s="158"/>
      <c r="E58" s="159"/>
      <c r="F58" s="160"/>
      <c r="I58" s="26" t="s">
        <v>6</v>
      </c>
      <c r="J58" s="135" t="s">
        <v>382</v>
      </c>
      <c r="K58" s="52"/>
      <c r="L58" s="161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62"/>
      <c r="X58" s="51"/>
      <c r="Y58" s="135" t="s">
        <v>382</v>
      </c>
      <c r="Z58" s="52"/>
      <c r="AA58" s="161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62"/>
    </row>
    <row r="59" spans="1:38" ht="12.75">
      <c r="A59" s="9" t="s">
        <v>383</v>
      </c>
      <c r="B59" s="10"/>
      <c r="C59" s="28" t="e">
        <f>'1. JOB COST SUMMARY'!$L$99+'1. JOB COST SUMMARY'!$X$99+'1. JOB COST SUMMARY'!$AH$99+'1. JOB COST SUMMARY'!$AR$99+'1. JOB COST SUMMARY'!$BB$99+'1. JOB COST SUMMARY'!$BM$99+'1. JOB COST SUMMARY'!#REF!+'1. JOB COST SUMMARY'!#REF!</f>
        <v>#REF!</v>
      </c>
      <c r="D59" s="158"/>
      <c r="E59" s="159"/>
      <c r="F59" s="160"/>
      <c r="I59" s="26" t="s">
        <v>6</v>
      </c>
      <c r="J59" s="135"/>
      <c r="K59" s="164" t="s">
        <v>384</v>
      </c>
      <c r="L59" s="161" t="str">
        <f aca="true" t="shared" si="13" ref="L59:W59">L26</f>
        <v>April</v>
      </c>
      <c r="M59" s="159" t="str">
        <f t="shared" si="13"/>
        <v>May</v>
      </c>
      <c r="N59" s="159" t="str">
        <f t="shared" si="13"/>
        <v>June</v>
      </c>
      <c r="O59" s="159" t="str">
        <f t="shared" si="13"/>
        <v>July</v>
      </c>
      <c r="P59" s="159" t="str">
        <f t="shared" si="13"/>
        <v>August</v>
      </c>
      <c r="Q59" s="159" t="str">
        <f t="shared" si="13"/>
        <v>September</v>
      </c>
      <c r="R59" s="159" t="str">
        <f t="shared" si="13"/>
        <v>October</v>
      </c>
      <c r="S59" s="159" t="str">
        <f t="shared" si="13"/>
        <v>November</v>
      </c>
      <c r="T59" s="159" t="str">
        <f t="shared" si="13"/>
        <v>December</v>
      </c>
      <c r="U59" s="159" t="str">
        <f t="shared" si="13"/>
        <v>January</v>
      </c>
      <c r="V59" s="159" t="str">
        <f t="shared" si="13"/>
        <v>February</v>
      </c>
      <c r="W59" s="162" t="str">
        <f t="shared" si="13"/>
        <v>March</v>
      </c>
      <c r="X59" s="51"/>
      <c r="Y59" s="135"/>
      <c r="Z59" s="164" t="s">
        <v>384</v>
      </c>
      <c r="AA59" s="161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62"/>
    </row>
    <row r="60" spans="1:38" ht="12.75">
      <c r="A60" s="163" t="s">
        <v>385</v>
      </c>
      <c r="B60" s="10"/>
      <c r="C60" s="165" t="e">
        <f>C56+C57+C58-C59</f>
        <v>#REF!</v>
      </c>
      <c r="D60" s="158"/>
      <c r="E60" s="166">
        <f>E11</f>
        <v>1993</v>
      </c>
      <c r="F60" s="162">
        <f>F11</f>
        <v>1994</v>
      </c>
      <c r="I60" s="26">
        <f>E60</f>
        <v>1993</v>
      </c>
      <c r="J60" s="167"/>
      <c r="K60" s="168" t="s">
        <v>386</v>
      </c>
      <c r="L60" s="169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2"/>
      <c r="X60" s="51"/>
      <c r="Y60" s="167"/>
      <c r="Z60" s="168" t="s">
        <v>386</v>
      </c>
      <c r="AA60" s="169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2"/>
    </row>
    <row r="61" spans="1:38" ht="12.75">
      <c r="A61" s="9" t="s">
        <v>387</v>
      </c>
      <c r="B61" s="15">
        <v>33</v>
      </c>
      <c r="C61" s="165" t="e">
        <f>C60*B61%</f>
        <v>#REF!</v>
      </c>
      <c r="D61" s="158"/>
      <c r="E61" s="159"/>
      <c r="F61" s="160"/>
      <c r="I61" s="26" t="s">
        <v>6</v>
      </c>
      <c r="J61" s="135" t="s">
        <v>388</v>
      </c>
      <c r="K61" s="27"/>
      <c r="L61" s="169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2"/>
      <c r="X61" s="51"/>
      <c r="Y61" s="135" t="s">
        <v>388</v>
      </c>
      <c r="Z61" s="27"/>
      <c r="AA61" s="169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2"/>
    </row>
    <row r="62" spans="1:38" ht="12.75">
      <c r="A62" s="135" t="s">
        <v>389</v>
      </c>
      <c r="B62" s="27"/>
      <c r="C62" s="28">
        <f>E54</f>
        <v>34650</v>
      </c>
      <c r="D62" s="158"/>
      <c r="E62" s="159"/>
      <c r="F62" s="160"/>
      <c r="I62" s="26" t="s">
        <v>6</v>
      </c>
      <c r="J62" s="135" t="s">
        <v>390</v>
      </c>
      <c r="K62" s="37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2"/>
      <c r="X62" s="51"/>
      <c r="Y62" s="135" t="s">
        <v>390</v>
      </c>
      <c r="Z62" s="37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2"/>
    </row>
    <row r="63" spans="1:38" ht="12.75">
      <c r="A63" s="135" t="s">
        <v>391</v>
      </c>
      <c r="B63" s="10"/>
      <c r="C63" s="165" t="e">
        <f>C61-C62</f>
        <v>#REF!</v>
      </c>
      <c r="D63" s="158"/>
      <c r="E63" s="159"/>
      <c r="F63" s="160"/>
      <c r="I63" s="26" t="s">
        <v>6</v>
      </c>
      <c r="J63" s="135" t="s">
        <v>392</v>
      </c>
      <c r="K63" s="37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51"/>
      <c r="Y63" s="135" t="s">
        <v>392</v>
      </c>
      <c r="Z63" s="37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2"/>
    </row>
    <row r="64" spans="1:38" ht="12.75">
      <c r="A64" s="135" t="s">
        <v>393</v>
      </c>
      <c r="B64" s="10"/>
      <c r="C64" s="165" t="e">
        <f>C61*1.05</f>
        <v>#REF!</v>
      </c>
      <c r="D64" s="166"/>
      <c r="E64" s="159"/>
      <c r="F64" s="160"/>
      <c r="I64" s="26" t="s">
        <v>6</v>
      </c>
      <c r="J64" s="135" t="s">
        <v>394</v>
      </c>
      <c r="K64" s="37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2"/>
      <c r="X64" s="51"/>
      <c r="Y64" s="135" t="s">
        <v>394</v>
      </c>
      <c r="Z64" s="37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2"/>
    </row>
    <row r="65" spans="1:38" ht="12.75">
      <c r="A65" s="170" t="s">
        <v>395</v>
      </c>
      <c r="B65" s="10"/>
      <c r="C65" s="28">
        <f>E47</f>
        <v>291600</v>
      </c>
      <c r="D65" s="171"/>
      <c r="E65" s="172"/>
      <c r="F65" s="160"/>
      <c r="I65" s="26" t="s">
        <v>6</v>
      </c>
      <c r="J65" s="135" t="s">
        <v>396</v>
      </c>
      <c r="K65" s="37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2"/>
      <c r="X65" s="51"/>
      <c r="Y65" s="135"/>
      <c r="Z65" s="37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2"/>
    </row>
    <row r="66" spans="1:38" ht="12.75">
      <c r="A66" s="135" t="s">
        <v>397</v>
      </c>
      <c r="B66" s="10"/>
      <c r="C66" s="165">
        <f>C65*E67%</f>
        <v>15775.560000000001</v>
      </c>
      <c r="D66" s="173"/>
      <c r="E66" s="172"/>
      <c r="F66" s="160"/>
      <c r="I66" s="26" t="s">
        <v>6</v>
      </c>
      <c r="J66" s="174" t="s">
        <v>398</v>
      </c>
      <c r="K66" s="37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2"/>
      <c r="X66" s="51"/>
      <c r="Y66" s="135"/>
      <c r="Z66" s="37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2"/>
    </row>
    <row r="67" spans="1:38" ht="13.5" thickBot="1">
      <c r="A67" s="50" t="s">
        <v>399</v>
      </c>
      <c r="B67" s="6"/>
      <c r="C67" s="175" t="e">
        <f>IF(C60&gt;76648,76648*E67%,C60*E67%)</f>
        <v>#REF!</v>
      </c>
      <c r="D67" s="176" t="s">
        <v>400</v>
      </c>
      <c r="E67" s="35">
        <v>5.41</v>
      </c>
      <c r="F67" s="177"/>
      <c r="I67" s="26" t="s">
        <v>6</v>
      </c>
      <c r="J67" s="50" t="s">
        <v>401</v>
      </c>
      <c r="K67" s="38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2"/>
      <c r="X67" s="51"/>
      <c r="Y67" s="50" t="s">
        <v>6</v>
      </c>
      <c r="Z67" s="38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2"/>
    </row>
    <row r="68" spans="1:38" ht="13.5" thickTop="1">
      <c r="A68" s="16" t="s">
        <v>402</v>
      </c>
      <c r="B68" s="178"/>
      <c r="C68" s="179"/>
      <c r="D68" s="180"/>
      <c r="E68" s="179">
        <v>-7000</v>
      </c>
      <c r="F68" s="154" t="e">
        <f>C63</f>
        <v>#REF!</v>
      </c>
      <c r="I68" s="26">
        <f>E68</f>
        <v>-7000</v>
      </c>
      <c r="J68" s="16" t="s">
        <v>402</v>
      </c>
      <c r="K68" s="178"/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1">
        <v>0</v>
      </c>
      <c r="U68" s="181">
        <v>0</v>
      </c>
      <c r="V68" s="181">
        <v>0</v>
      </c>
      <c r="W68" s="40">
        <v>0</v>
      </c>
      <c r="X68" s="182"/>
      <c r="Y68" s="16" t="s">
        <v>402</v>
      </c>
      <c r="Z68" s="178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40"/>
    </row>
    <row r="69" spans="1:38" ht="12.75">
      <c r="A69" s="16" t="s">
        <v>403</v>
      </c>
      <c r="B69" s="178"/>
      <c r="C69" s="179"/>
      <c r="D69" s="42"/>
      <c r="E69" s="48">
        <v>45000</v>
      </c>
      <c r="F69" s="155">
        <v>0</v>
      </c>
      <c r="I69" s="26">
        <f>E69</f>
        <v>45000</v>
      </c>
      <c r="J69" s="16" t="s">
        <v>403</v>
      </c>
      <c r="K69" s="178"/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40">
        <v>0</v>
      </c>
      <c r="X69" s="182"/>
      <c r="Y69" s="16" t="s">
        <v>403</v>
      </c>
      <c r="Z69" s="178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40"/>
    </row>
    <row r="70" spans="1:38" ht="12.75">
      <c r="A70" s="16" t="s">
        <v>404</v>
      </c>
      <c r="B70" s="178"/>
      <c r="C70" s="179"/>
      <c r="D70" s="42"/>
      <c r="E70" s="48">
        <v>15000</v>
      </c>
      <c r="F70" s="155"/>
      <c r="I70" s="26">
        <f>E70</f>
        <v>15000</v>
      </c>
      <c r="J70" s="16" t="s">
        <v>405</v>
      </c>
      <c r="K70" s="178"/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40">
        <v>0</v>
      </c>
      <c r="X70" s="182"/>
      <c r="Y70" s="16" t="s">
        <v>405</v>
      </c>
      <c r="Z70" s="178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40"/>
    </row>
    <row r="71" spans="1:38" ht="13.5" thickBot="1">
      <c r="A71" s="135" t="s">
        <v>406</v>
      </c>
      <c r="B71" s="37"/>
      <c r="C71" s="183"/>
      <c r="D71" s="184"/>
      <c r="E71" s="184"/>
      <c r="F71" s="185">
        <v>0</v>
      </c>
      <c r="I71" s="26">
        <f>E71</f>
        <v>0</v>
      </c>
      <c r="J71" s="9" t="s">
        <v>407</v>
      </c>
      <c r="K71" s="37"/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40">
        <v>0</v>
      </c>
      <c r="X71" s="182"/>
      <c r="Y71" s="9" t="s">
        <v>407</v>
      </c>
      <c r="Z71" s="37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20"/>
    </row>
    <row r="72" spans="1:38" ht="13.5" thickBot="1">
      <c r="A72" s="148" t="s">
        <v>408</v>
      </c>
      <c r="B72" s="186"/>
      <c r="C72" s="187"/>
      <c r="D72" s="188"/>
      <c r="E72" s="188">
        <f>E53-E54-E68-E69-E70-E71</f>
        <v>293534.9999999999</v>
      </c>
      <c r="F72" s="189" t="e">
        <f>F53-F54-F68-F69-F70-F71</f>
        <v>#REF!</v>
      </c>
      <c r="I72" s="26">
        <f>E72</f>
        <v>293534.9999999999</v>
      </c>
      <c r="J72" s="148" t="s">
        <v>408</v>
      </c>
      <c r="K72" s="186"/>
      <c r="L72" s="149">
        <f aca="true" t="shared" si="14" ref="L72:W72">L53-L54-L68-L69-L70-L71</f>
        <v>81960</v>
      </c>
      <c r="M72" s="149">
        <f t="shared" si="14"/>
        <v>86058</v>
      </c>
      <c r="N72" s="149">
        <f t="shared" si="14"/>
        <v>81960</v>
      </c>
      <c r="O72" s="149">
        <f t="shared" si="14"/>
        <v>81960</v>
      </c>
      <c r="P72" s="149">
        <f t="shared" si="14"/>
        <v>81960</v>
      </c>
      <c r="Q72" s="149">
        <f t="shared" si="14"/>
        <v>86058</v>
      </c>
      <c r="R72" s="149">
        <f t="shared" si="14"/>
        <v>86058</v>
      </c>
      <c r="S72" s="149">
        <f t="shared" si="14"/>
        <v>86058</v>
      </c>
      <c r="T72" s="149">
        <f t="shared" si="14"/>
        <v>61469.99999999999</v>
      </c>
      <c r="U72" s="149">
        <f t="shared" si="14"/>
        <v>61469.99999999999</v>
      </c>
      <c r="V72" s="149">
        <f t="shared" si="14"/>
        <v>86058</v>
      </c>
      <c r="W72" s="149">
        <f t="shared" si="14"/>
        <v>86058</v>
      </c>
      <c r="X72" s="182"/>
      <c r="Y72" s="148" t="s">
        <v>408</v>
      </c>
      <c r="Z72" s="186"/>
      <c r="AA72" s="149">
        <f aca="true" t="shared" si="15" ref="AA72:AL72">AA53-AA54-AA68-AA69-AA70-AA71</f>
        <v>0</v>
      </c>
      <c r="AB72" s="149">
        <f t="shared" si="15"/>
        <v>0</v>
      </c>
      <c r="AC72" s="149">
        <f t="shared" si="15"/>
        <v>0</v>
      </c>
      <c r="AD72" s="149">
        <f t="shared" si="15"/>
        <v>0</v>
      </c>
      <c r="AE72" s="149">
        <f t="shared" si="15"/>
        <v>0</v>
      </c>
      <c r="AF72" s="149">
        <f t="shared" si="15"/>
        <v>0</v>
      </c>
      <c r="AG72" s="149">
        <f t="shared" si="15"/>
        <v>0</v>
      </c>
      <c r="AH72" s="149">
        <f t="shared" si="15"/>
        <v>0</v>
      </c>
      <c r="AI72" s="149">
        <f t="shared" si="15"/>
        <v>0</v>
      </c>
      <c r="AJ72" s="149">
        <f t="shared" si="15"/>
        <v>0</v>
      </c>
      <c r="AK72" s="149">
        <f t="shared" si="15"/>
        <v>0</v>
      </c>
      <c r="AL72" s="149">
        <f t="shared" si="15"/>
        <v>0</v>
      </c>
    </row>
    <row r="73" spans="1:38" ht="12.75">
      <c r="A73" s="9" t="s">
        <v>409</v>
      </c>
      <c r="B73" s="37"/>
      <c r="C73" s="11"/>
      <c r="D73" s="159"/>
      <c r="E73" s="159"/>
      <c r="F73" s="162"/>
      <c r="I73" s="26" t="s">
        <v>6</v>
      </c>
      <c r="J73" s="9" t="s">
        <v>409</v>
      </c>
      <c r="K73" s="37"/>
      <c r="L73" s="190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2"/>
      <c r="X73" s="182"/>
      <c r="Y73" s="9" t="s">
        <v>409</v>
      </c>
      <c r="Z73" s="37"/>
      <c r="AA73" s="190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2"/>
    </row>
    <row r="74" spans="1:38" ht="13.5" thickBot="1">
      <c r="A74" s="16" t="s">
        <v>410</v>
      </c>
      <c r="B74" s="178"/>
      <c r="C74" s="88">
        <v>-30000</v>
      </c>
      <c r="D74" s="159"/>
      <c r="E74" s="159"/>
      <c r="F74" s="162"/>
      <c r="I74" s="26" t="s">
        <v>6</v>
      </c>
      <c r="J74" s="16" t="s">
        <v>410</v>
      </c>
      <c r="K74" s="178"/>
      <c r="L74" s="96">
        <v>-30000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12"/>
      <c r="X74" s="51"/>
      <c r="Y74" s="16" t="s">
        <v>410</v>
      </c>
      <c r="Z74" s="178"/>
      <c r="AA74" s="96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12"/>
    </row>
    <row r="75" spans="1:38" ht="13.5" thickBot="1">
      <c r="A75" s="193" t="s">
        <v>411</v>
      </c>
      <c r="B75" s="108"/>
      <c r="C75" s="108"/>
      <c r="D75" s="149" t="s">
        <v>6</v>
      </c>
      <c r="E75" s="146">
        <f>C74+E72</f>
        <v>263534.9999999999</v>
      </c>
      <c r="F75" s="147" t="e">
        <f>E75+F72</f>
        <v>#REF!</v>
      </c>
      <c r="I75" s="26">
        <f>E75</f>
        <v>263534.9999999999</v>
      </c>
      <c r="J75" s="194" t="s">
        <v>411</v>
      </c>
      <c r="K75" s="108"/>
      <c r="L75" s="195">
        <f>L72+L74</f>
        <v>51960</v>
      </c>
      <c r="M75" s="195">
        <f aca="true" t="shared" si="16" ref="M75:W75">L75+M72</f>
        <v>138018</v>
      </c>
      <c r="N75" s="195">
        <f t="shared" si="16"/>
        <v>219978</v>
      </c>
      <c r="O75" s="195">
        <f t="shared" si="16"/>
        <v>301938</v>
      </c>
      <c r="P75" s="195">
        <f t="shared" si="16"/>
        <v>383898</v>
      </c>
      <c r="Q75" s="195">
        <f t="shared" si="16"/>
        <v>469956</v>
      </c>
      <c r="R75" s="195">
        <f t="shared" si="16"/>
        <v>556014</v>
      </c>
      <c r="S75" s="195">
        <f t="shared" si="16"/>
        <v>642072</v>
      </c>
      <c r="T75" s="195">
        <f t="shared" si="16"/>
        <v>703542</v>
      </c>
      <c r="U75" s="195">
        <f t="shared" si="16"/>
        <v>765012</v>
      </c>
      <c r="V75" s="195">
        <f t="shared" si="16"/>
        <v>851070</v>
      </c>
      <c r="W75" s="147">
        <f t="shared" si="16"/>
        <v>937128</v>
      </c>
      <c r="X75" s="51"/>
      <c r="Y75" s="194" t="s">
        <v>411</v>
      </c>
      <c r="Z75" s="108"/>
      <c r="AA75" s="195">
        <f>AA72+AA74</f>
        <v>0</v>
      </c>
      <c r="AB75" s="195">
        <f aca="true" t="shared" si="17" ref="AB75:AL75">AA75+AB72</f>
        <v>0</v>
      </c>
      <c r="AC75" s="195">
        <f t="shared" si="17"/>
        <v>0</v>
      </c>
      <c r="AD75" s="195">
        <f t="shared" si="17"/>
        <v>0</v>
      </c>
      <c r="AE75" s="195">
        <f t="shared" si="17"/>
        <v>0</v>
      </c>
      <c r="AF75" s="195">
        <f t="shared" si="17"/>
        <v>0</v>
      </c>
      <c r="AG75" s="195">
        <f t="shared" si="17"/>
        <v>0</v>
      </c>
      <c r="AH75" s="195">
        <f t="shared" si="17"/>
        <v>0</v>
      </c>
      <c r="AI75" s="195">
        <f t="shared" si="17"/>
        <v>0</v>
      </c>
      <c r="AJ75" s="195">
        <f t="shared" si="17"/>
        <v>0</v>
      </c>
      <c r="AK75" s="195">
        <f t="shared" si="17"/>
        <v>0</v>
      </c>
      <c r="AL75" s="147">
        <f t="shared" si="17"/>
        <v>0</v>
      </c>
    </row>
    <row r="76" spans="1:38" ht="13.5" thickBot="1">
      <c r="A76" s="5"/>
      <c r="B76" s="6"/>
      <c r="C76" s="6" t="s">
        <v>6</v>
      </c>
      <c r="D76" s="196" t="s">
        <v>6</v>
      </c>
      <c r="E76" s="197">
        <f>E43</f>
        <v>1993</v>
      </c>
      <c r="F76" s="7">
        <f>F43</f>
        <v>1994</v>
      </c>
      <c r="I76" s="53">
        <f>E76</f>
        <v>1993</v>
      </c>
      <c r="J76" s="5"/>
      <c r="K76" s="6"/>
      <c r="L76" s="198" t="str">
        <f aca="true" t="shared" si="18" ref="L76:W76">L11</f>
        <v>April</v>
      </c>
      <c r="M76" s="198" t="str">
        <f t="shared" si="18"/>
        <v>May</v>
      </c>
      <c r="N76" s="198" t="str">
        <f t="shared" si="18"/>
        <v>June</v>
      </c>
      <c r="O76" s="198" t="str">
        <f t="shared" si="18"/>
        <v>July</v>
      </c>
      <c r="P76" s="198" t="str">
        <f t="shared" si="18"/>
        <v>August</v>
      </c>
      <c r="Q76" s="198" t="str">
        <f t="shared" si="18"/>
        <v>September</v>
      </c>
      <c r="R76" s="198" t="str">
        <f t="shared" si="18"/>
        <v>October</v>
      </c>
      <c r="S76" s="198" t="str">
        <f t="shared" si="18"/>
        <v>November</v>
      </c>
      <c r="T76" s="198" t="str">
        <f t="shared" si="18"/>
        <v>December</v>
      </c>
      <c r="U76" s="198" t="str">
        <f t="shared" si="18"/>
        <v>January</v>
      </c>
      <c r="V76" s="198" t="str">
        <f t="shared" si="18"/>
        <v>February</v>
      </c>
      <c r="W76" s="199" t="str">
        <f t="shared" si="18"/>
        <v>March</v>
      </c>
      <c r="X76" s="51"/>
      <c r="Y76" s="5"/>
      <c r="Z76" s="6"/>
      <c r="AA76" s="198" t="str">
        <f aca="true" t="shared" si="19" ref="AA76:AL76">AA11</f>
        <v>April</v>
      </c>
      <c r="AB76" s="198" t="str">
        <f t="shared" si="19"/>
        <v>May</v>
      </c>
      <c r="AC76" s="198" t="str">
        <f t="shared" si="19"/>
        <v>June</v>
      </c>
      <c r="AD76" s="198" t="str">
        <f t="shared" si="19"/>
        <v>July</v>
      </c>
      <c r="AE76" s="198" t="str">
        <f t="shared" si="19"/>
        <v>August</v>
      </c>
      <c r="AF76" s="198" t="str">
        <f t="shared" si="19"/>
        <v>September</v>
      </c>
      <c r="AG76" s="198" t="str">
        <f t="shared" si="19"/>
        <v>October</v>
      </c>
      <c r="AH76" s="198" t="str">
        <f t="shared" si="19"/>
        <v>November</v>
      </c>
      <c r="AI76" s="198" t="str">
        <f t="shared" si="19"/>
        <v>December</v>
      </c>
      <c r="AJ76" s="198" t="str">
        <f t="shared" si="19"/>
        <v>January</v>
      </c>
      <c r="AK76" s="198" t="str">
        <f t="shared" si="19"/>
        <v>February</v>
      </c>
      <c r="AL76" s="199" t="str">
        <f t="shared" si="19"/>
        <v>March</v>
      </c>
    </row>
    <row r="77" ht="13.5" thickTop="1"/>
  </sheetData>
  <printOptions/>
  <pageMargins left="0.1" right="0.1" top="0.1" bottom="0.1" header="0.5" footer="0.5"/>
  <pageSetup fitToHeight="1" fitToWidth="1" orientation="landscape" paperSize="9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58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11.28125" style="214" customWidth="1"/>
    <col min="2" max="2" width="7.8515625" style="314" customWidth="1"/>
    <col min="3" max="3" width="34.00390625" style="214" customWidth="1"/>
    <col min="4" max="4" width="14.28125" style="214" customWidth="1"/>
    <col min="5" max="5" width="13.00390625" style="214" customWidth="1"/>
    <col min="6" max="7" width="14.8515625" style="214" customWidth="1"/>
    <col min="8" max="8" width="15.8515625" style="214" customWidth="1"/>
    <col min="9" max="9" width="9.140625" style="214" customWidth="1"/>
    <col min="10" max="10" width="9.57421875" style="214" customWidth="1"/>
    <col min="11" max="11" width="10.421875" style="214" customWidth="1"/>
    <col min="12" max="12" width="10.7109375" style="214" customWidth="1"/>
    <col min="13" max="13" width="11.57421875" style="214" customWidth="1"/>
    <col min="14" max="14" width="9.421875" style="214" bestFit="1" customWidth="1"/>
    <col min="15" max="16384" width="9.140625" style="214" customWidth="1"/>
  </cols>
  <sheetData>
    <row r="1" spans="1:17" ht="28.5" customHeight="1" thickBot="1">
      <c r="A1" s="896" t="s">
        <v>464</v>
      </c>
      <c r="B1" s="897"/>
      <c r="C1" s="897"/>
      <c r="D1" s="897"/>
      <c r="E1" s="897"/>
      <c r="F1" s="897"/>
      <c r="G1" s="898"/>
      <c r="J1" s="218" t="s">
        <v>6</v>
      </c>
      <c r="P1" s="213"/>
      <c r="Q1" s="213"/>
    </row>
    <row r="2" spans="1:17" ht="15.75" customHeight="1">
      <c r="A2" s="899" t="s">
        <v>531</v>
      </c>
      <c r="B2" s="900"/>
      <c r="C2" s="900"/>
      <c r="D2" s="900"/>
      <c r="E2" s="900"/>
      <c r="F2" s="900"/>
      <c r="G2" s="901"/>
      <c r="J2" s="218"/>
      <c r="P2" s="213"/>
      <c r="Q2" s="213"/>
    </row>
    <row r="3" spans="1:17" ht="15.75" customHeight="1">
      <c r="A3" s="902" t="s">
        <v>597</v>
      </c>
      <c r="B3" s="903"/>
      <c r="C3" s="903"/>
      <c r="D3" s="903"/>
      <c r="E3" s="903"/>
      <c r="F3" s="903"/>
      <c r="G3" s="904"/>
      <c r="J3" s="218"/>
      <c r="P3" s="213"/>
      <c r="Q3" s="213"/>
    </row>
    <row r="4" spans="1:17" ht="15.75" customHeight="1" thickBot="1">
      <c r="A4" s="905"/>
      <c r="B4" s="906"/>
      <c r="C4" s="906"/>
      <c r="D4" s="906"/>
      <c r="E4" s="906"/>
      <c r="F4" s="906"/>
      <c r="G4" s="907"/>
      <c r="J4" s="218"/>
      <c r="P4" s="213"/>
      <c r="Q4" s="213"/>
    </row>
    <row r="5" spans="1:17" ht="15.75" customHeight="1" thickBot="1">
      <c r="A5" s="434" t="s">
        <v>538</v>
      </c>
      <c r="B5" s="435"/>
      <c r="C5" s="436"/>
      <c r="D5" s="437"/>
      <c r="E5" s="436"/>
      <c r="F5" s="438"/>
      <c r="G5" s="439"/>
      <c r="J5" s="218"/>
      <c r="P5" s="213"/>
      <c r="Q5" s="213"/>
    </row>
    <row r="6" spans="1:7" s="365" customFormat="1" ht="14.25" customHeight="1" thickBot="1">
      <c r="A6" s="326"/>
      <c r="B6" s="357"/>
      <c r="C6" s="327"/>
      <c r="D6" s="327"/>
      <c r="E6" s="327"/>
      <c r="F6" s="327"/>
      <c r="G6" s="359"/>
    </row>
    <row r="7" spans="1:17" ht="16.5" thickBot="1">
      <c r="A7" s="442" t="s">
        <v>39</v>
      </c>
      <c r="B7" s="443"/>
      <c r="C7" s="444" t="s">
        <v>417</v>
      </c>
      <c r="D7" s="444"/>
      <c r="E7" s="444"/>
      <c r="F7" s="445"/>
      <c r="G7" s="430">
        <f>'6. LABOUR'!C10</f>
        <v>230</v>
      </c>
      <c r="J7" s="365"/>
      <c r="K7" s="365"/>
      <c r="L7" s="365"/>
      <c r="P7" s="213"/>
      <c r="Q7" s="213"/>
    </row>
    <row r="8" spans="1:17" ht="16.5" thickBot="1">
      <c r="A8" s="356"/>
      <c r="B8" s="357"/>
      <c r="C8" s="327"/>
      <c r="D8" s="327"/>
      <c r="E8" s="327"/>
      <c r="F8" s="358"/>
      <c r="G8" s="359"/>
      <c r="J8" s="365"/>
      <c r="K8" s="365"/>
      <c r="L8" s="365"/>
      <c r="M8" s="365"/>
      <c r="P8" s="213"/>
      <c r="Q8" s="213"/>
    </row>
    <row r="9" spans="1:17" s="315" customFormat="1" ht="32.25" thickBot="1">
      <c r="A9" s="894" t="s">
        <v>424</v>
      </c>
      <c r="B9" s="895"/>
      <c r="C9" s="446" t="s">
        <v>419</v>
      </c>
      <c r="D9" s="884" t="s">
        <v>663</v>
      </c>
      <c r="E9" s="884" t="s">
        <v>499</v>
      </c>
      <c r="F9" s="885" t="s">
        <v>425</v>
      </c>
      <c r="G9" s="886" t="s">
        <v>595</v>
      </c>
      <c r="H9" s="886" t="s">
        <v>614</v>
      </c>
      <c r="P9" s="316"/>
      <c r="Q9" s="316"/>
    </row>
    <row r="10" spans="1:17" ht="16.5" customHeight="1">
      <c r="A10" s="427" t="s">
        <v>420</v>
      </c>
      <c r="B10" s="447"/>
      <c r="C10" s="448"/>
      <c r="D10" s="420" t="s">
        <v>72</v>
      </c>
      <c r="E10" s="357"/>
      <c r="F10" s="815">
        <f>IF(D10="Y",'6. LABOUR'!$K$28,0)</f>
        <v>1827.1353413043478</v>
      </c>
      <c r="G10" s="822">
        <f aca="true" t="shared" si="0" ref="G10:G21">F10/$F$26</f>
        <v>0.23817289926224397</v>
      </c>
      <c r="H10" s="819" t="s">
        <v>497</v>
      </c>
      <c r="P10" s="213"/>
      <c r="Q10" s="213"/>
    </row>
    <row r="11" spans="1:17" ht="16.5" customHeight="1">
      <c r="A11" s="427" t="s">
        <v>422</v>
      </c>
      <c r="B11" s="447"/>
      <c r="C11" s="449"/>
      <c r="D11" s="421" t="s">
        <v>72</v>
      </c>
      <c r="E11" s="357"/>
      <c r="F11" s="816">
        <f>IF(D11="Y",'8. OPERATING SUPPLIES'!$D$43,0)</f>
        <v>174.5842993695652</v>
      </c>
      <c r="G11" s="823">
        <f t="shared" si="0"/>
        <v>0.022757618336490086</v>
      </c>
      <c r="H11" s="820" t="s">
        <v>497</v>
      </c>
      <c r="O11" s="781"/>
      <c r="P11" s="213"/>
      <c r="Q11" s="213"/>
    </row>
    <row r="12" spans="1:17" ht="16.5" customHeight="1" thickBot="1">
      <c r="A12" s="427" t="s">
        <v>423</v>
      </c>
      <c r="B12" s="447"/>
      <c r="C12" s="450"/>
      <c r="D12" s="422" t="s">
        <v>72</v>
      </c>
      <c r="E12" s="357"/>
      <c r="F12" s="817">
        <f>IF(D12="Y",'9. OVERHEADS'!$H$35,0)</f>
        <v>119.42028985507247</v>
      </c>
      <c r="G12" s="824">
        <f t="shared" si="0"/>
        <v>0.015566814358270589</v>
      </c>
      <c r="H12" s="821" t="s">
        <v>497</v>
      </c>
      <c r="O12" s="781"/>
      <c r="P12" s="213"/>
      <c r="Q12" s="213"/>
    </row>
    <row r="13" spans="1:17" ht="16.5" customHeight="1" thickBot="1">
      <c r="A13" s="428" t="s">
        <v>95</v>
      </c>
      <c r="B13" s="451"/>
      <c r="C13" s="429" t="str">
        <f>IF(D13="Y",'5. CHAINSAWS'!$C$5,"")</f>
        <v>Stihl MS660</v>
      </c>
      <c r="D13" s="423" t="s">
        <v>72</v>
      </c>
      <c r="E13" s="440">
        <v>6</v>
      </c>
      <c r="F13" s="815">
        <f>IF(D13="Y",('5. CHAINSAWS'!$D$19*E13),0)</f>
        <v>246.16238327759194</v>
      </c>
      <c r="G13" s="825">
        <f t="shared" si="0"/>
        <v>0.0320880490838045</v>
      </c>
      <c r="H13" s="819">
        <f>IF(D13="Y",SUM('5. CHAINSAWS'!$I$26:$I$28)*'5. CHAINSAWS'!$D$18*E13,0)</f>
        <v>144.11686153846154</v>
      </c>
      <c r="O13" s="782"/>
      <c r="P13" s="781"/>
      <c r="Q13" s="213"/>
    </row>
    <row r="14" spans="1:17" ht="16.5" customHeight="1">
      <c r="A14" s="427" t="s">
        <v>421</v>
      </c>
      <c r="B14" s="452">
        <v>1</v>
      </c>
      <c r="C14" s="453" t="str">
        <f>IF(D14="Y",'7. VEHICLES'!D5,"")</f>
        <v>Toyota Hilux</v>
      </c>
      <c r="D14" s="424" t="s">
        <v>72</v>
      </c>
      <c r="E14" s="424">
        <v>1</v>
      </c>
      <c r="F14" s="815">
        <f>IF(D14="Y",'7. VEHICLES'!$D$44,"")*E14</f>
        <v>92.04363410442546</v>
      </c>
      <c r="G14" s="822">
        <f t="shared" si="0"/>
        <v>0.01199818026486991</v>
      </c>
      <c r="H14" s="815">
        <f>IF(D14="Y",'7. VEHICLES'!$D$10*('7. VEHICLES'!$D$37+'7. VEHICLES'!$D$38),0)*E14</f>
        <v>14.78624</v>
      </c>
      <c r="O14" s="782"/>
      <c r="P14" s="213"/>
      <c r="Q14" s="213"/>
    </row>
    <row r="15" spans="1:17" ht="16.5" customHeight="1" thickBot="1">
      <c r="A15" s="454"/>
      <c r="B15" s="455">
        <v>2</v>
      </c>
      <c r="C15" s="456" t="str">
        <f>IF(D15="Y",'7. VEHICLES'!I5,"")</f>
        <v>Toyota Hiace</v>
      </c>
      <c r="D15" s="422" t="s">
        <v>72</v>
      </c>
      <c r="E15" s="422">
        <v>2</v>
      </c>
      <c r="F15" s="817">
        <f>IF(D15="Y",'7. VEHICLES'!$I$44,0)*E15</f>
        <v>162.75160245885093</v>
      </c>
      <c r="G15" s="824">
        <f t="shared" si="0"/>
        <v>0.02121518868412271</v>
      </c>
      <c r="H15" s="817">
        <f>IF(D15="Y",'7. VEHICLES'!$I$10*('7. VEHICLES'!$I$37+'7. VEHICLES'!$I$38),0)*E15</f>
        <v>29.211840000000002</v>
      </c>
      <c r="O15" s="782"/>
      <c r="P15" s="213"/>
      <c r="Q15" s="213"/>
    </row>
    <row r="16" spans="1:17" ht="16.5" customHeight="1">
      <c r="A16" s="427" t="s">
        <v>43</v>
      </c>
      <c r="B16" s="452">
        <v>1</v>
      </c>
      <c r="C16" s="457" t="str">
        <f>IF(D16="Y",'3. MACHINES'!D6,"")</f>
        <v>TSY355</v>
      </c>
      <c r="D16" s="425" t="s">
        <v>72</v>
      </c>
      <c r="E16" s="425">
        <v>1</v>
      </c>
      <c r="F16" s="815">
        <f>IF(D16="Y",'3. MACHINES'!D46,0)*E16</f>
        <v>1095.848424701087</v>
      </c>
      <c r="G16" s="822">
        <f t="shared" si="0"/>
        <v>0.14284732529813482</v>
      </c>
      <c r="H16" s="815">
        <f>IF(D16="Y",('3. MACHINES'!$D$37+'3. MACHINES'!$D$39),0)*E16</f>
        <v>258.46128000000004</v>
      </c>
      <c r="I16" s="213"/>
      <c r="N16" s="213"/>
      <c r="O16" s="782"/>
      <c r="P16" s="213"/>
      <c r="Q16" s="213"/>
    </row>
    <row r="17" spans="1:17" ht="16.5" customHeight="1">
      <c r="A17" s="427"/>
      <c r="B17" s="452">
        <v>2</v>
      </c>
      <c r="C17" s="458" t="str">
        <f>IF(D17="Y",'3. MACHINES'!I6,"")</f>
        <v>ZX350 &amp; W 626</v>
      </c>
      <c r="D17" s="421" t="s">
        <v>72</v>
      </c>
      <c r="E17" s="421">
        <v>1</v>
      </c>
      <c r="F17" s="816">
        <f>IF(D17="Y",'3. MACHINES'!I46,0)*E17</f>
        <v>1481.7540550724639</v>
      </c>
      <c r="G17" s="823">
        <f t="shared" si="0"/>
        <v>0.19315135081250134</v>
      </c>
      <c r="H17" s="816">
        <f>IF(D17="Y",('3. MACHINES'!$I$37+'3. MACHINES'!$I$39),0)*E17</f>
        <v>384.19919999999996</v>
      </c>
      <c r="I17" s="213"/>
      <c r="N17" s="213"/>
      <c r="O17" s="782"/>
      <c r="P17" s="213"/>
      <c r="Q17" s="213"/>
    </row>
    <row r="18" spans="1:15" ht="16.5" customHeight="1">
      <c r="A18" s="427"/>
      <c r="B18" s="452">
        <v>3</v>
      </c>
      <c r="C18" s="458" t="str">
        <f>IF(D18="Y",'3. MACHINES'!N6,"")</f>
        <v>CAT 330 &amp; grapple</v>
      </c>
      <c r="D18" s="421" t="s">
        <v>72</v>
      </c>
      <c r="E18" s="421">
        <v>1</v>
      </c>
      <c r="F18" s="816">
        <f>IF(D18="Y",'3. MACHINES'!N46,0)*E18</f>
        <v>779.3675652173913</v>
      </c>
      <c r="G18" s="823">
        <f t="shared" si="0"/>
        <v>0.10159303933460641</v>
      </c>
      <c r="H18" s="816">
        <f>IF(D18="Y",('3. MACHINES'!$N$37+'3. MACHINES'!$N$39),0)*E18</f>
        <v>216.384</v>
      </c>
      <c r="O18" s="782"/>
    </row>
    <row r="19" spans="1:15" ht="16.5" customHeight="1">
      <c r="A19" s="427"/>
      <c r="B19" s="452">
        <v>4</v>
      </c>
      <c r="C19" s="458" t="str">
        <f>IF(D19="Y",'3. MACHINES'!S6,"")</f>
        <v>JD748H</v>
      </c>
      <c r="D19" s="421" t="s">
        <v>72</v>
      </c>
      <c r="E19" s="421">
        <v>1</v>
      </c>
      <c r="F19" s="816">
        <f>IF(D19="Y",'3. MACHINES'!S46,0)*E19</f>
        <v>801.0586045516304</v>
      </c>
      <c r="G19" s="823">
        <f t="shared" si="0"/>
        <v>0.10442053525647887</v>
      </c>
      <c r="H19" s="816">
        <f>IF(D19="Y",('3. MACHINES'!$S$37+'3. MACHINES'!$S$39),0)*E19</f>
        <v>206.9172</v>
      </c>
      <c r="O19" s="782"/>
    </row>
    <row r="20" spans="1:16" ht="16.5" customHeight="1">
      <c r="A20" s="427"/>
      <c r="B20" s="452">
        <v>5</v>
      </c>
      <c r="C20" s="458" t="str">
        <f>IF(D20="Y",'3. MACHINES'!X6,"")</f>
        <v>Tailhold</v>
      </c>
      <c r="D20" s="422" t="s">
        <v>72</v>
      </c>
      <c r="E20" s="422">
        <v>1</v>
      </c>
      <c r="F20" s="816">
        <f>IF(D20="Y",'3. MACHINES'!X46,0)*E20</f>
        <v>104.4977347826087</v>
      </c>
      <c r="G20" s="823">
        <f t="shared" si="0"/>
        <v>0.013621611873449742</v>
      </c>
      <c r="H20" s="816">
        <f>IF(D20="Y",('3. MACHINES'!$X$37+'3. MACHINES'!$X$39),0)*E20</f>
        <v>43.27680000000001</v>
      </c>
      <c r="O20" s="782"/>
      <c r="P20" s="781"/>
    </row>
    <row r="21" spans="1:16" ht="16.5" customHeight="1" thickBot="1">
      <c r="A21" s="427"/>
      <c r="B21" s="452">
        <v>6</v>
      </c>
      <c r="C21" s="773" t="str">
        <f>IF(D21="Y",'3. MACHINES'!AC6,"")</f>
        <v>Harvestech</v>
      </c>
      <c r="D21" s="426" t="s">
        <v>72</v>
      </c>
      <c r="E21" s="426">
        <v>1</v>
      </c>
      <c r="F21" s="818">
        <f>IF(D21="Y",'3. MACHINES'!AC46,0)*E21</f>
        <v>89.43622749660327</v>
      </c>
      <c r="G21" s="826">
        <f t="shared" si="0"/>
        <v>0.011658296525936142</v>
      </c>
      <c r="H21" s="818">
        <f>IF(D21="Y",('3. MACHINES'!$AC$37+'3. MACHINES'!$AC$39),0)*E21</f>
        <v>0</v>
      </c>
      <c r="O21" s="782"/>
      <c r="P21" s="781"/>
    </row>
    <row r="22" spans="1:16" s="365" customFormat="1" ht="13.5" thickBot="1">
      <c r="A22" s="774"/>
      <c r="B22" s="775"/>
      <c r="C22" s="775"/>
      <c r="D22" s="775"/>
      <c r="E22" s="775"/>
      <c r="F22" s="775"/>
      <c r="G22" s="775"/>
      <c r="H22" s="776"/>
      <c r="O22" s="782"/>
      <c r="P22" s="781"/>
    </row>
    <row r="23" spans="1:15" ht="13.5" thickBot="1">
      <c r="A23" s="459" t="s">
        <v>426</v>
      </c>
      <c r="B23" s="460"/>
      <c r="C23" s="461"/>
      <c r="D23" s="461"/>
      <c r="E23" s="461"/>
      <c r="F23" s="829">
        <f>SUM(F10:F22)</f>
        <v>6974.0601621916385</v>
      </c>
      <c r="G23" s="828">
        <f>F23/$F$26</f>
        <v>0.9090909090909092</v>
      </c>
      <c r="H23" s="831">
        <f>SUM(H10:H21)</f>
        <v>1297.3534215384618</v>
      </c>
      <c r="O23" s="783"/>
    </row>
    <row r="24" spans="1:7" ht="12.75">
      <c r="A24" s="462" t="s">
        <v>427</v>
      </c>
      <c r="B24" s="463"/>
      <c r="C24" s="464"/>
      <c r="D24" s="464"/>
      <c r="E24" s="464"/>
      <c r="F24" s="441">
        <v>0.1</v>
      </c>
      <c r="G24" s="468"/>
    </row>
    <row r="25" spans="1:7" ht="13.5" thickBot="1">
      <c r="A25" s="462" t="s">
        <v>547</v>
      </c>
      <c r="B25" s="463"/>
      <c r="C25" s="464"/>
      <c r="D25" s="464"/>
      <c r="E25" s="464"/>
      <c r="F25" s="816">
        <f>F23*F24</f>
        <v>697.4060162191639</v>
      </c>
      <c r="G25" s="827">
        <f>F25/$F$26</f>
        <v>0.09090909090909093</v>
      </c>
    </row>
    <row r="26" spans="1:7" ht="13.5" thickBot="1">
      <c r="A26" s="465" t="s">
        <v>546</v>
      </c>
      <c r="B26" s="466"/>
      <c r="C26" s="467"/>
      <c r="D26" s="467"/>
      <c r="E26" s="467"/>
      <c r="F26" s="830">
        <f>F25+F23</f>
        <v>7671.466178410802</v>
      </c>
      <c r="G26" s="469">
        <f>F26/$F$26</f>
        <v>1</v>
      </c>
    </row>
    <row r="27" spans="1:7" ht="13.5" thickBot="1">
      <c r="A27" s="371"/>
      <c r="B27" s="372"/>
      <c r="C27" s="213"/>
      <c r="D27" s="213"/>
      <c r="E27" s="213"/>
      <c r="F27" s="373"/>
      <c r="G27" s="374"/>
    </row>
    <row r="28" spans="1:7" ht="13.5" thickBot="1">
      <c r="A28" s="470" t="s">
        <v>612</v>
      </c>
      <c r="B28" s="471"/>
      <c r="C28" s="444"/>
      <c r="D28" s="444"/>
      <c r="E28" s="444"/>
      <c r="F28" s="444"/>
      <c r="G28" s="825">
        <f>H23/$F$26</f>
        <v>0.16911414211660092</v>
      </c>
    </row>
    <row r="29" ht="13.5" thickBot="1"/>
    <row r="30" spans="1:8" ht="13.5" thickBot="1">
      <c r="A30" s="470" t="s">
        <v>493</v>
      </c>
      <c r="B30" s="471"/>
      <c r="C30" s="444" t="s">
        <v>596</v>
      </c>
      <c r="D30" s="444"/>
      <c r="E30" s="444"/>
      <c r="F30" s="780">
        <f>'10. PRODUCTION'!$D$23</f>
        <v>260.15625000000006</v>
      </c>
      <c r="G30" s="404"/>
      <c r="H30" s="405"/>
    </row>
    <row r="31" spans="4:8" ht="12.75">
      <c r="D31" s="365"/>
      <c r="E31" s="365"/>
      <c r="F31" s="365"/>
      <c r="G31" s="365"/>
      <c r="H31" s="365"/>
    </row>
    <row r="33" spans="6:8" ht="25.5">
      <c r="F33" s="784" t="s">
        <v>598</v>
      </c>
      <c r="G33" s="785" t="s">
        <v>599</v>
      </c>
      <c r="H33" s="791" t="s">
        <v>613</v>
      </c>
    </row>
    <row r="34" spans="6:8" ht="12.75">
      <c r="F34" s="790"/>
      <c r="G34" s="777"/>
      <c r="H34" s="406"/>
    </row>
    <row r="35" spans="6:8" ht="12.75">
      <c r="F35" s="407">
        <f>F$45*0.9</f>
        <v>234.14062500000006</v>
      </c>
      <c r="G35" s="408">
        <f>F35*'6. LABOUR'!$C$10</f>
        <v>53852.343750000015</v>
      </c>
      <c r="H35" s="789">
        <f aca="true" t="shared" si="1" ref="H35:H45">$F$26/F35</f>
        <v>32.76435338126735</v>
      </c>
    </row>
    <row r="36" spans="6:8" ht="12.75">
      <c r="F36" s="407">
        <f>F$45*0.91</f>
        <v>236.74218750000006</v>
      </c>
      <c r="G36" s="408">
        <f>F36*'6. LABOUR'!$C$10</f>
        <v>54450.703125000015</v>
      </c>
      <c r="H36" s="789">
        <f t="shared" si="1"/>
        <v>32.40430554191276</v>
      </c>
    </row>
    <row r="37" spans="6:8" ht="12.75">
      <c r="F37" s="407">
        <f>F$45*0.92</f>
        <v>239.34375000000006</v>
      </c>
      <c r="G37" s="408">
        <f>F37*'6. LABOUR'!$C$10</f>
        <v>55049.062500000015</v>
      </c>
      <c r="H37" s="789">
        <f t="shared" si="1"/>
        <v>32.052084829500664</v>
      </c>
    </row>
    <row r="38" spans="6:8" ht="12.75">
      <c r="F38" s="407">
        <f>F$45*0.93</f>
        <v>241.94531250000006</v>
      </c>
      <c r="G38" s="408">
        <f>F38*'6. LABOUR'!$C$10</f>
        <v>55647.421875000015</v>
      </c>
      <c r="H38" s="789">
        <f t="shared" si="1"/>
        <v>31.707438756065176</v>
      </c>
    </row>
    <row r="39" spans="6:8" ht="12.75">
      <c r="F39" s="407">
        <f>F$45*0.94</f>
        <v>244.54687500000003</v>
      </c>
      <c r="G39" s="408">
        <f>F39*'6. LABOUR'!$C$10</f>
        <v>56245.78125000001</v>
      </c>
      <c r="H39" s="789">
        <f t="shared" si="1"/>
        <v>31.370125577809166</v>
      </c>
    </row>
    <row r="40" spans="6:8" ht="12.75">
      <c r="F40" s="407">
        <f>F$45*0.95</f>
        <v>247.14843750000003</v>
      </c>
      <c r="G40" s="408">
        <f>F40*'6. LABOUR'!$C$10</f>
        <v>56844.14062500001</v>
      </c>
      <c r="H40" s="789">
        <f t="shared" si="1"/>
        <v>31.039913729621702</v>
      </c>
    </row>
    <row r="41" spans="6:8" ht="12.75">
      <c r="F41" s="407">
        <f>F$45*0.96</f>
        <v>249.75000000000006</v>
      </c>
      <c r="G41" s="408">
        <f>F41*'6. LABOUR'!$C$10</f>
        <v>57442.500000000015</v>
      </c>
      <c r="H41" s="789">
        <f t="shared" si="1"/>
        <v>30.71658129493814</v>
      </c>
    </row>
    <row r="42" spans="6:8" ht="12.75">
      <c r="F42" s="407">
        <f>F$45*0.97</f>
        <v>252.35156250000006</v>
      </c>
      <c r="G42" s="408">
        <f>F42*'6. LABOUR'!$C$10</f>
        <v>58040.859375000015</v>
      </c>
      <c r="H42" s="789">
        <f t="shared" si="1"/>
        <v>30.399915508392386</v>
      </c>
    </row>
    <row r="43" spans="6:8" ht="12.75">
      <c r="F43" s="407">
        <f>F$45*0.98</f>
        <v>254.95312500000006</v>
      </c>
      <c r="G43" s="408">
        <f>F43*'6. LABOUR'!$C$10</f>
        <v>58639.218750000015</v>
      </c>
      <c r="H43" s="789">
        <f t="shared" si="1"/>
        <v>30.089712288918992</v>
      </c>
    </row>
    <row r="44" spans="6:8" ht="12.75">
      <c r="F44" s="407">
        <f>F$45*0.99</f>
        <v>257.55468750000006</v>
      </c>
      <c r="G44" s="408">
        <f>F44*'6. LABOUR'!$C$10</f>
        <v>59237.578125000015</v>
      </c>
      <c r="H44" s="789">
        <f t="shared" si="1"/>
        <v>29.785775801152134</v>
      </c>
    </row>
    <row r="45" spans="6:8" ht="12.75">
      <c r="F45" s="786">
        <f>F30</f>
        <v>260.15625000000006</v>
      </c>
      <c r="G45" s="787">
        <f>F45*'6. LABOUR'!$C$10</f>
        <v>59835.937500000015</v>
      </c>
      <c r="H45" s="788">
        <f t="shared" si="1"/>
        <v>29.487918043140613</v>
      </c>
    </row>
    <row r="46" spans="6:8" ht="12.75">
      <c r="F46" s="407">
        <f>F$45*1.01</f>
        <v>262.75781250000006</v>
      </c>
      <c r="G46" s="408">
        <f>F46*'6. LABOUR'!$C$10</f>
        <v>60434.296875000015</v>
      </c>
      <c r="H46" s="789">
        <f aca="true" t="shared" si="2" ref="H46:H55">$F$26/F46</f>
        <v>29.195958458555065</v>
      </c>
    </row>
    <row r="47" spans="6:8" ht="12.75">
      <c r="F47" s="407">
        <f>F$45*1.02</f>
        <v>265.35937500000006</v>
      </c>
      <c r="G47" s="408">
        <f>F47*'6. LABOUR'!$C$10</f>
        <v>61032.656250000015</v>
      </c>
      <c r="H47" s="789">
        <f t="shared" si="2"/>
        <v>28.909723571706486</v>
      </c>
    </row>
    <row r="48" spans="6:8" ht="12.75">
      <c r="F48" s="407">
        <f>F$45*1.03</f>
        <v>267.96093750000006</v>
      </c>
      <c r="G48" s="408">
        <f>F48*'6. LABOUR'!$C$10</f>
        <v>61631.015625000015</v>
      </c>
      <c r="H48" s="789">
        <f t="shared" si="2"/>
        <v>28.629046643825838</v>
      </c>
    </row>
    <row r="49" spans="6:8" ht="12.75">
      <c r="F49" s="407">
        <f>F$45*1.04</f>
        <v>270.56250000000006</v>
      </c>
      <c r="G49" s="408">
        <f>F49*'6. LABOUR'!$C$10</f>
        <v>62229.375000000015</v>
      </c>
      <c r="H49" s="789">
        <f t="shared" si="2"/>
        <v>28.35376734917367</v>
      </c>
    </row>
    <row r="50" spans="6:8" ht="12.75">
      <c r="F50" s="407">
        <f>F$45*1.05</f>
        <v>273.16406250000006</v>
      </c>
      <c r="G50" s="408">
        <f>F50*'6. LABOUR'!$C$10</f>
        <v>62827.734375000015</v>
      </c>
      <c r="H50" s="789">
        <f t="shared" si="2"/>
        <v>28.083731469657728</v>
      </c>
    </row>
    <row r="51" spans="6:8" ht="12.75">
      <c r="F51" s="407">
        <f>F$45*1.06</f>
        <v>275.76562500000006</v>
      </c>
      <c r="G51" s="408">
        <f>F51*'6. LABOUR'!$C$10</f>
        <v>63426.093750000015</v>
      </c>
      <c r="H51" s="789">
        <f t="shared" si="2"/>
        <v>27.818790606736428</v>
      </c>
    </row>
    <row r="52" spans="6:8" ht="12.75">
      <c r="F52" s="407">
        <f>F$45*1.07</f>
        <v>278.36718750000006</v>
      </c>
      <c r="G52" s="408">
        <f>F52*'6. LABOUR'!$C$10</f>
        <v>64024.453125000015</v>
      </c>
      <c r="H52" s="789">
        <f t="shared" si="2"/>
        <v>27.55880190947721</v>
      </c>
    </row>
    <row r="53" spans="6:8" ht="12.75">
      <c r="F53" s="407">
        <f>F$45*1.08</f>
        <v>280.96875000000006</v>
      </c>
      <c r="G53" s="408">
        <f>F53*'6. LABOUR'!$C$10</f>
        <v>64622.812500000015</v>
      </c>
      <c r="H53" s="789">
        <f t="shared" si="2"/>
        <v>27.30362781772279</v>
      </c>
    </row>
    <row r="54" spans="6:8" ht="12.75">
      <c r="F54" s="407">
        <f>F$45*1.09</f>
        <v>283.57031250000006</v>
      </c>
      <c r="G54" s="408">
        <f>F54*'6. LABOUR'!$C$10</f>
        <v>65221.171875000015</v>
      </c>
      <c r="H54" s="789">
        <f t="shared" si="2"/>
        <v>27.05313581939506</v>
      </c>
    </row>
    <row r="55" spans="6:8" ht="12.75">
      <c r="F55" s="407">
        <f>F$45*1.1</f>
        <v>286.1718750000001</v>
      </c>
      <c r="G55" s="408">
        <f>F55*'6. LABOUR'!$C$10</f>
        <v>65819.53125000003</v>
      </c>
      <c r="H55" s="789">
        <f t="shared" si="2"/>
        <v>26.807198221036916</v>
      </c>
    </row>
    <row r="56" spans="6:8" ht="12.75">
      <c r="F56" s="778"/>
      <c r="G56" s="779"/>
      <c r="H56" s="779"/>
    </row>
    <row r="59" ht="15.75" customHeight="1"/>
    <row r="60" spans="3:68" ht="13.5" hidden="1" thickTop="1">
      <c r="C60" s="385">
        <f>F56+5</f>
        <v>5</v>
      </c>
      <c r="D60" s="51"/>
      <c r="E60" s="382" t="e">
        <f>#REF!/C60</f>
        <v>#REF!</v>
      </c>
      <c r="F60" s="384" t="e">
        <f>C60*#REF!</f>
        <v>#REF!</v>
      </c>
      <c r="H60" s="228"/>
      <c r="I60" s="216"/>
      <c r="J60" s="216"/>
      <c r="K60" s="216"/>
      <c r="L60" s="216"/>
      <c r="M60" s="216"/>
      <c r="N60" s="217"/>
      <c r="T60" s="228"/>
      <c r="U60" s="216"/>
      <c r="V60" s="216"/>
      <c r="W60" s="216"/>
      <c r="X60" s="216"/>
      <c r="Y60" s="216"/>
      <c r="Z60" s="216"/>
      <c r="AA60" s="217"/>
      <c r="AD60" s="228"/>
      <c r="AE60" s="216"/>
      <c r="AF60" s="216"/>
      <c r="AG60" s="216"/>
      <c r="AH60" s="216"/>
      <c r="AI60" s="216"/>
      <c r="AJ60" s="216"/>
      <c r="AK60" s="217"/>
      <c r="AN60" s="228"/>
      <c r="AO60" s="216"/>
      <c r="AP60" s="216"/>
      <c r="AQ60" s="216"/>
      <c r="AR60" s="216"/>
      <c r="AS60" s="216"/>
      <c r="AT60" s="216"/>
      <c r="AU60" s="217"/>
      <c r="AX60" s="228"/>
      <c r="AY60" s="216"/>
      <c r="AZ60" s="216"/>
      <c r="BA60" s="216"/>
      <c r="BB60" s="216"/>
      <c r="BC60" s="216"/>
      <c r="BD60" s="216"/>
      <c r="BE60" s="217"/>
      <c r="BI60" s="228"/>
      <c r="BJ60" s="216"/>
      <c r="BK60" s="216"/>
      <c r="BL60" s="216"/>
      <c r="BM60" s="216"/>
      <c r="BN60" s="216"/>
      <c r="BO60" s="216"/>
      <c r="BP60" s="217"/>
    </row>
    <row r="61" spans="3:68" ht="14.25" hidden="1" thickBot="1" thickTop="1">
      <c r="C61" s="385">
        <f>C60+5</f>
        <v>10</v>
      </c>
      <c r="D61" s="51"/>
      <c r="E61" s="382" t="e">
        <f>#REF!/C61</f>
        <v>#REF!</v>
      </c>
      <c r="F61" s="384" t="e">
        <f>C61*#REF!</f>
        <v>#REF!</v>
      </c>
      <c r="H61" s="225"/>
      <c r="I61" s="222" t="s">
        <v>151</v>
      </c>
      <c r="J61" s="223"/>
      <c r="K61" s="224"/>
      <c r="L61" s="238" t="s">
        <v>152</v>
      </c>
      <c r="M61" s="239" t="e">
        <f>M73+M90</f>
        <v>#REF!</v>
      </c>
      <c r="N61" s="226"/>
      <c r="T61" s="225"/>
      <c r="U61" s="222" t="s">
        <v>151</v>
      </c>
      <c r="V61" s="223"/>
      <c r="W61" s="224"/>
      <c r="X61" s="238" t="s">
        <v>152</v>
      </c>
      <c r="Y61" s="223"/>
      <c r="Z61" s="239" t="e">
        <f>Z73+Z90</f>
        <v>#DIV/0!</v>
      </c>
      <c r="AA61" s="226"/>
      <c r="AD61" s="225"/>
      <c r="AE61" s="222" t="s">
        <v>151</v>
      </c>
      <c r="AF61" s="223"/>
      <c r="AG61" s="224"/>
      <c r="AH61" s="238" t="s">
        <v>152</v>
      </c>
      <c r="AI61" s="223"/>
      <c r="AJ61" s="239">
        <f>AJ73+AJ90</f>
        <v>0</v>
      </c>
      <c r="AK61" s="226"/>
      <c r="AN61" s="225"/>
      <c r="AO61" s="222" t="s">
        <v>151</v>
      </c>
      <c r="AP61" s="223"/>
      <c r="AQ61" s="224"/>
      <c r="AR61" s="238" t="s">
        <v>152</v>
      </c>
      <c r="AS61" s="223"/>
      <c r="AT61" s="239">
        <f>AT73+AT90</f>
        <v>0</v>
      </c>
      <c r="AU61" s="226"/>
      <c r="AX61" s="225"/>
      <c r="AY61" s="222" t="s">
        <v>151</v>
      </c>
      <c r="AZ61" s="223"/>
      <c r="BA61" s="224"/>
      <c r="BB61" s="238" t="s">
        <v>152</v>
      </c>
      <c r="BC61" s="223"/>
      <c r="BD61" s="239">
        <f>BD73+BD90</f>
        <v>0</v>
      </c>
      <c r="BE61" s="226"/>
      <c r="BI61" s="225"/>
      <c r="BJ61" s="222" t="s">
        <v>151</v>
      </c>
      <c r="BK61" s="223"/>
      <c r="BL61" s="224"/>
      <c r="BM61" s="238" t="s">
        <v>152</v>
      </c>
      <c r="BN61" s="223"/>
      <c r="BO61" s="239">
        <f>BO73+BO90</f>
        <v>3.6</v>
      </c>
      <c r="BP61" s="226"/>
    </row>
    <row r="62" spans="3:68" ht="12.75" hidden="1">
      <c r="C62" s="385">
        <f>C61+5</f>
        <v>15</v>
      </c>
      <c r="D62" s="51"/>
      <c r="E62" s="382" t="e">
        <f>#REF!/C62</f>
        <v>#REF!</v>
      </c>
      <c r="F62" s="384" t="e">
        <f>C62*#REF!</f>
        <v>#REF!</v>
      </c>
      <c r="H62" s="225"/>
      <c r="I62" s="225"/>
      <c r="J62" s="213"/>
      <c r="K62" s="225"/>
      <c r="L62" s="213"/>
      <c r="M62" s="226"/>
      <c r="N62" s="226"/>
      <c r="T62" s="225"/>
      <c r="U62" s="225"/>
      <c r="V62" s="213"/>
      <c r="W62" s="225"/>
      <c r="X62" s="213"/>
      <c r="Y62" s="213"/>
      <c r="Z62" s="226"/>
      <c r="AA62" s="226"/>
      <c r="AD62" s="225"/>
      <c r="AE62" s="225"/>
      <c r="AF62" s="213"/>
      <c r="AG62" s="225"/>
      <c r="AH62" s="213"/>
      <c r="AI62" s="213"/>
      <c r="AJ62" s="226"/>
      <c r="AK62" s="226"/>
      <c r="AN62" s="225"/>
      <c r="AO62" s="225"/>
      <c r="AP62" s="213"/>
      <c r="AQ62" s="225"/>
      <c r="AR62" s="213"/>
      <c r="AS62" s="213"/>
      <c r="AT62" s="226"/>
      <c r="AU62" s="226"/>
      <c r="AX62" s="225"/>
      <c r="AY62" s="225"/>
      <c r="AZ62" s="213"/>
      <c r="BA62" s="225"/>
      <c r="BB62" s="213"/>
      <c r="BC62" s="213"/>
      <c r="BD62" s="226"/>
      <c r="BE62" s="226"/>
      <c r="BI62" s="225"/>
      <c r="BJ62" s="225"/>
      <c r="BK62" s="213"/>
      <c r="BL62" s="225"/>
      <c r="BM62" s="213"/>
      <c r="BN62" s="213"/>
      <c r="BO62" s="226"/>
      <c r="BP62" s="226"/>
    </row>
    <row r="63" spans="3:68" ht="16.5" hidden="1" thickTop="1">
      <c r="C63" s="385">
        <f>C62+5</f>
        <v>20</v>
      </c>
      <c r="D63" s="51"/>
      <c r="E63" s="382" t="e">
        <f>#REF!/C63</f>
        <v>#REF!</v>
      </c>
      <c r="F63" s="384" t="e">
        <f>C63*#REF!</f>
        <v>#REF!</v>
      </c>
      <c r="H63" s="225"/>
      <c r="I63" s="227" t="s">
        <v>153</v>
      </c>
      <c r="J63" s="229" t="s">
        <v>154</v>
      </c>
      <c r="K63" s="240" t="s">
        <v>155</v>
      </c>
      <c r="L63" s="240" t="s">
        <v>156</v>
      </c>
      <c r="M63" s="241" t="s">
        <v>157</v>
      </c>
      <c r="N63" s="226"/>
      <c r="T63" s="225"/>
      <c r="U63" s="227" t="s">
        <v>153</v>
      </c>
      <c r="V63" s="229" t="s">
        <v>154</v>
      </c>
      <c r="W63" s="240" t="s">
        <v>155</v>
      </c>
      <c r="X63" s="240" t="s">
        <v>156</v>
      </c>
      <c r="Y63" s="240" t="s">
        <v>52</v>
      </c>
      <c r="Z63" s="241" t="s">
        <v>157</v>
      </c>
      <c r="AA63" s="226"/>
      <c r="AD63" s="225"/>
      <c r="AE63" s="227" t="s">
        <v>153</v>
      </c>
      <c r="AF63" s="229" t="s">
        <v>154</v>
      </c>
      <c r="AG63" s="240" t="s">
        <v>155</v>
      </c>
      <c r="AH63" s="240" t="s">
        <v>156</v>
      </c>
      <c r="AI63" s="240" t="s">
        <v>52</v>
      </c>
      <c r="AJ63" s="241" t="s">
        <v>157</v>
      </c>
      <c r="AK63" s="226"/>
      <c r="AN63" s="225"/>
      <c r="AO63" s="227" t="s">
        <v>153</v>
      </c>
      <c r="AP63" s="229" t="s">
        <v>154</v>
      </c>
      <c r="AQ63" s="240" t="s">
        <v>155</v>
      </c>
      <c r="AR63" s="240" t="s">
        <v>156</v>
      </c>
      <c r="AS63" s="240" t="s">
        <v>52</v>
      </c>
      <c r="AT63" s="241" t="s">
        <v>157</v>
      </c>
      <c r="AU63" s="226"/>
      <c r="AX63" s="225"/>
      <c r="AY63" s="227" t="s">
        <v>153</v>
      </c>
      <c r="AZ63" s="229" t="s">
        <v>154</v>
      </c>
      <c r="BA63" s="240" t="s">
        <v>155</v>
      </c>
      <c r="BB63" s="240" t="s">
        <v>156</v>
      </c>
      <c r="BC63" s="240" t="s">
        <v>52</v>
      </c>
      <c r="BD63" s="241" t="s">
        <v>157</v>
      </c>
      <c r="BE63" s="226"/>
      <c r="BI63" s="225"/>
      <c r="BJ63" s="227" t="s">
        <v>153</v>
      </c>
      <c r="BK63" s="229" t="s">
        <v>154</v>
      </c>
      <c r="BL63" s="240" t="s">
        <v>155</v>
      </c>
      <c r="BM63" s="240" t="s">
        <v>156</v>
      </c>
      <c r="BN63" s="240" t="s">
        <v>52</v>
      </c>
      <c r="BO63" s="241" t="s">
        <v>157</v>
      </c>
      <c r="BP63" s="226"/>
    </row>
    <row r="64" spans="3:68" ht="12.75" hidden="1">
      <c r="C64" s="383"/>
      <c r="D64" s="55"/>
      <c r="E64" s="55"/>
      <c r="F64" s="384" t="e">
        <f>C64*#REF!</f>
        <v>#REF!</v>
      </c>
      <c r="H64" s="225"/>
      <c r="I64" s="242" t="s">
        <v>45</v>
      </c>
      <c r="J64" s="243"/>
      <c r="K64" s="243"/>
      <c r="L64" s="236" t="s">
        <v>158</v>
      </c>
      <c r="M64" s="244" t="s">
        <v>159</v>
      </c>
      <c r="N64" s="226"/>
      <c r="T64" s="225"/>
      <c r="U64" s="242" t="s">
        <v>45</v>
      </c>
      <c r="V64" s="243"/>
      <c r="W64" s="243"/>
      <c r="X64" s="236" t="s">
        <v>158</v>
      </c>
      <c r="Y64" s="243"/>
      <c r="Z64" s="244" t="s">
        <v>159</v>
      </c>
      <c r="AA64" s="226"/>
      <c r="AD64" s="225"/>
      <c r="AE64" s="242" t="s">
        <v>45</v>
      </c>
      <c r="AF64" s="243"/>
      <c r="AG64" s="243"/>
      <c r="AH64" s="236" t="s">
        <v>158</v>
      </c>
      <c r="AI64" s="243"/>
      <c r="AJ64" s="244" t="s">
        <v>159</v>
      </c>
      <c r="AK64" s="226"/>
      <c r="AN64" s="225"/>
      <c r="AO64" s="242" t="s">
        <v>45</v>
      </c>
      <c r="AP64" s="243"/>
      <c r="AQ64" s="243"/>
      <c r="AR64" s="236" t="s">
        <v>158</v>
      </c>
      <c r="AS64" s="243"/>
      <c r="AT64" s="244" t="s">
        <v>159</v>
      </c>
      <c r="AU64" s="226"/>
      <c r="AX64" s="225"/>
      <c r="AY64" s="242" t="s">
        <v>45</v>
      </c>
      <c r="AZ64" s="243"/>
      <c r="BA64" s="243"/>
      <c r="BB64" s="236" t="s">
        <v>158</v>
      </c>
      <c r="BC64" s="243"/>
      <c r="BD64" s="244" t="s">
        <v>159</v>
      </c>
      <c r="BE64" s="226"/>
      <c r="BI64" s="225"/>
      <c r="BJ64" s="242" t="s">
        <v>45</v>
      </c>
      <c r="BK64" s="243"/>
      <c r="BL64" s="243"/>
      <c r="BM64" s="236" t="s">
        <v>158</v>
      </c>
      <c r="BN64" s="243"/>
      <c r="BO64" s="244" t="s">
        <v>159</v>
      </c>
      <c r="BP64" s="226"/>
    </row>
    <row r="65" spans="1:68" ht="12.75" hidden="1">
      <c r="A65" s="214" t="s">
        <v>187</v>
      </c>
      <c r="B65" s="314" t="e">
        <f>IF(D10="Y",(#REF!-#REF!-#REF!),0)</f>
        <v>#REF!</v>
      </c>
      <c r="F65" s="384" t="e">
        <f>C65*#REF!</f>
        <v>#REF!</v>
      </c>
      <c r="H65" s="225"/>
      <c r="I65" s="225" t="s">
        <v>160</v>
      </c>
      <c r="J65" s="230">
        <v>0</v>
      </c>
      <c r="K65" s="230">
        <v>1</v>
      </c>
      <c r="L65" s="230">
        <v>0</v>
      </c>
      <c r="M65" s="245" t="e">
        <f>(J65*L65*#REF!)/K65</f>
        <v>#REF!</v>
      </c>
      <c r="N65" s="226"/>
      <c r="T65" s="225"/>
      <c r="U65" s="225" t="s">
        <v>160</v>
      </c>
      <c r="V65" s="230"/>
      <c r="W65" s="230"/>
      <c r="X65" s="230"/>
      <c r="Y65" s="230"/>
      <c r="Z65" s="245" t="e">
        <f aca="true" t="shared" si="3" ref="Z65:Z72">(V65*X65*Y65)/W65</f>
        <v>#DIV/0!</v>
      </c>
      <c r="AA65" s="226"/>
      <c r="AD65" s="225"/>
      <c r="AE65" s="225" t="s">
        <v>160</v>
      </c>
      <c r="AF65" s="230">
        <v>0</v>
      </c>
      <c r="AG65" s="230">
        <v>1</v>
      </c>
      <c r="AH65" s="230">
        <v>0</v>
      </c>
      <c r="AI65" s="230">
        <v>0</v>
      </c>
      <c r="AJ65" s="245">
        <f aca="true" t="shared" si="4" ref="AJ65:AJ72">(AF65*AH65*AI65)/AG65</f>
        <v>0</v>
      </c>
      <c r="AK65" s="226"/>
      <c r="AN65" s="225"/>
      <c r="AO65" s="225" t="s">
        <v>160</v>
      </c>
      <c r="AP65" s="230">
        <v>0</v>
      </c>
      <c r="AQ65" s="230">
        <v>1</v>
      </c>
      <c r="AR65" s="230">
        <v>0</v>
      </c>
      <c r="AS65" s="230">
        <v>0</v>
      </c>
      <c r="AT65" s="245">
        <f aca="true" t="shared" si="5" ref="AT65:AT72">(AP65*AR65*AS65)/AQ65</f>
        <v>0</v>
      </c>
      <c r="AU65" s="226"/>
      <c r="AX65" s="225"/>
      <c r="AY65" s="225" t="s">
        <v>160</v>
      </c>
      <c r="AZ65" s="230">
        <v>0</v>
      </c>
      <c r="BA65" s="230">
        <v>1</v>
      </c>
      <c r="BB65" s="230">
        <v>0</v>
      </c>
      <c r="BC65" s="230">
        <v>0</v>
      </c>
      <c r="BD65" s="245">
        <f aca="true" t="shared" si="6" ref="BD65:BD72">(AZ65*BB65*BC65)/BA65</f>
        <v>0</v>
      </c>
      <c r="BE65" s="226"/>
      <c r="BI65" s="225"/>
      <c r="BJ65" s="225" t="s">
        <v>160</v>
      </c>
      <c r="BK65" s="230">
        <v>0</v>
      </c>
      <c r="BL65" s="230">
        <v>1</v>
      </c>
      <c r="BM65" s="230">
        <v>0</v>
      </c>
      <c r="BN65" s="230">
        <v>1</v>
      </c>
      <c r="BO65" s="245">
        <f aca="true" t="shared" si="7" ref="BO65:BO72">(BK65*BM65*BN65)/BL65</f>
        <v>0</v>
      </c>
      <c r="BP65" s="226"/>
    </row>
    <row r="66" spans="1:68" ht="12.75" hidden="1">
      <c r="A66" s="246" t="s">
        <v>188</v>
      </c>
      <c r="B66" s="314" t="e">
        <f>IF(D10="Y",#REF!,0)</f>
        <v>#REF!</v>
      </c>
      <c r="F66" s="384" t="e">
        <f>C66*#REF!</f>
        <v>#REF!</v>
      </c>
      <c r="H66" s="225"/>
      <c r="I66" s="225" t="s">
        <v>161</v>
      </c>
      <c r="J66" s="230">
        <v>0</v>
      </c>
      <c r="K66" s="230">
        <v>1</v>
      </c>
      <c r="L66" s="230">
        <v>0</v>
      </c>
      <c r="M66" s="245" t="e">
        <f>(J66*L66*#REF!)/K66</f>
        <v>#REF!</v>
      </c>
      <c r="N66" s="226"/>
      <c r="T66" s="225"/>
      <c r="U66" s="225" t="s">
        <v>161</v>
      </c>
      <c r="V66" s="230"/>
      <c r="W66" s="230"/>
      <c r="X66" s="230"/>
      <c r="Y66" s="230"/>
      <c r="Z66" s="245" t="e">
        <f t="shared" si="3"/>
        <v>#DIV/0!</v>
      </c>
      <c r="AA66" s="226"/>
      <c r="AD66" s="225"/>
      <c r="AE66" s="225" t="s">
        <v>161</v>
      </c>
      <c r="AF66" s="230">
        <v>0</v>
      </c>
      <c r="AG66" s="230">
        <v>1</v>
      </c>
      <c r="AH66" s="230">
        <v>0</v>
      </c>
      <c r="AI66" s="230">
        <v>0</v>
      </c>
      <c r="AJ66" s="245">
        <f t="shared" si="4"/>
        <v>0</v>
      </c>
      <c r="AK66" s="226"/>
      <c r="AN66" s="225"/>
      <c r="AO66" s="225" t="s">
        <v>161</v>
      </c>
      <c r="AP66" s="230">
        <v>0</v>
      </c>
      <c r="AQ66" s="230">
        <v>1</v>
      </c>
      <c r="AR66" s="230">
        <v>0</v>
      </c>
      <c r="AS66" s="230">
        <v>0</v>
      </c>
      <c r="AT66" s="245">
        <f t="shared" si="5"/>
        <v>0</v>
      </c>
      <c r="AU66" s="226"/>
      <c r="AX66" s="225"/>
      <c r="AY66" s="225" t="s">
        <v>161</v>
      </c>
      <c r="AZ66" s="230">
        <v>0</v>
      </c>
      <c r="BA66" s="230">
        <v>1</v>
      </c>
      <c r="BB66" s="230">
        <v>0</v>
      </c>
      <c r="BC66" s="230">
        <v>0</v>
      </c>
      <c r="BD66" s="245">
        <f t="shared" si="6"/>
        <v>0</v>
      </c>
      <c r="BE66" s="226"/>
      <c r="BI66" s="225"/>
      <c r="BJ66" s="225" t="s">
        <v>161</v>
      </c>
      <c r="BK66" s="230">
        <v>0</v>
      </c>
      <c r="BL66" s="230">
        <v>1</v>
      </c>
      <c r="BM66" s="230">
        <v>0</v>
      </c>
      <c r="BN66" s="230">
        <v>0</v>
      </c>
      <c r="BO66" s="245">
        <f t="shared" si="7"/>
        <v>0</v>
      </c>
      <c r="BP66" s="226"/>
    </row>
    <row r="67" spans="1:68" ht="12.75" hidden="1">
      <c r="A67" s="247" t="s">
        <v>189</v>
      </c>
      <c r="B67" s="314" t="e">
        <f>IF(D10="Y",#REF!,0)</f>
        <v>#REF!</v>
      </c>
      <c r="F67" s="384" t="e">
        <f>C67*#REF!</f>
        <v>#REF!</v>
      </c>
      <c r="H67" s="225"/>
      <c r="I67" s="225" t="s">
        <v>162</v>
      </c>
      <c r="J67" s="230">
        <v>0</v>
      </c>
      <c r="K67" s="230">
        <v>1</v>
      </c>
      <c r="L67" s="230">
        <v>0</v>
      </c>
      <c r="M67" s="245" t="e">
        <f>(J67*L67*#REF!)/K67</f>
        <v>#REF!</v>
      </c>
      <c r="N67" s="226"/>
      <c r="T67" s="225"/>
      <c r="U67" s="225" t="s">
        <v>162</v>
      </c>
      <c r="V67" s="230"/>
      <c r="W67" s="230"/>
      <c r="X67" s="230"/>
      <c r="Y67" s="230"/>
      <c r="Z67" s="245" t="e">
        <f t="shared" si="3"/>
        <v>#DIV/0!</v>
      </c>
      <c r="AA67" s="226"/>
      <c r="AD67" s="225"/>
      <c r="AE67" s="225" t="s">
        <v>162</v>
      </c>
      <c r="AF67" s="230">
        <v>0</v>
      </c>
      <c r="AG67" s="230">
        <v>1</v>
      </c>
      <c r="AH67" s="230">
        <v>0</v>
      </c>
      <c r="AI67" s="230">
        <v>0</v>
      </c>
      <c r="AJ67" s="245">
        <f t="shared" si="4"/>
        <v>0</v>
      </c>
      <c r="AK67" s="226"/>
      <c r="AN67" s="225"/>
      <c r="AO67" s="225" t="s">
        <v>162</v>
      </c>
      <c r="AP67" s="230">
        <v>0</v>
      </c>
      <c r="AQ67" s="230">
        <v>1</v>
      </c>
      <c r="AR67" s="230">
        <v>0</v>
      </c>
      <c r="AS67" s="230">
        <v>0</v>
      </c>
      <c r="AT67" s="245">
        <f t="shared" si="5"/>
        <v>0</v>
      </c>
      <c r="AU67" s="226"/>
      <c r="AX67" s="225"/>
      <c r="AY67" s="225" t="s">
        <v>162</v>
      </c>
      <c r="AZ67" s="230">
        <v>0</v>
      </c>
      <c r="BA67" s="230">
        <v>1</v>
      </c>
      <c r="BB67" s="230">
        <v>0</v>
      </c>
      <c r="BC67" s="230">
        <v>0</v>
      </c>
      <c r="BD67" s="245">
        <f t="shared" si="6"/>
        <v>0</v>
      </c>
      <c r="BE67" s="226"/>
      <c r="BI67" s="225"/>
      <c r="BJ67" s="225" t="s">
        <v>162</v>
      </c>
      <c r="BK67" s="230">
        <v>0</v>
      </c>
      <c r="BL67" s="230">
        <v>1</v>
      </c>
      <c r="BM67" s="230">
        <v>0</v>
      </c>
      <c r="BN67" s="230">
        <v>0</v>
      </c>
      <c r="BO67" s="245">
        <f t="shared" si="7"/>
        <v>0</v>
      </c>
      <c r="BP67" s="226"/>
    </row>
    <row r="68" spans="1:68" ht="12.75" hidden="1">
      <c r="A68" s="214" t="s">
        <v>190</v>
      </c>
      <c r="B68" s="314" t="e">
        <f>IF(D10="Y",#REF!,0)</f>
        <v>#REF!</v>
      </c>
      <c r="F68" s="384" t="e">
        <f>C68*#REF!</f>
        <v>#REF!</v>
      </c>
      <c r="H68" s="225"/>
      <c r="I68" s="225" t="s">
        <v>163</v>
      </c>
      <c r="J68" s="230">
        <v>0</v>
      </c>
      <c r="K68" s="230">
        <v>1</v>
      </c>
      <c r="L68" s="230">
        <v>0</v>
      </c>
      <c r="M68" s="245" t="e">
        <f>(J68*L68*#REF!)/K68</f>
        <v>#REF!</v>
      </c>
      <c r="N68" s="226"/>
      <c r="T68" s="225"/>
      <c r="U68" s="225" t="s">
        <v>163</v>
      </c>
      <c r="V68" s="230"/>
      <c r="W68" s="230"/>
      <c r="X68" s="230"/>
      <c r="Y68" s="230"/>
      <c r="Z68" s="245" t="e">
        <f t="shared" si="3"/>
        <v>#DIV/0!</v>
      </c>
      <c r="AA68" s="226"/>
      <c r="AD68" s="225"/>
      <c r="AE68" s="225" t="s">
        <v>163</v>
      </c>
      <c r="AF68" s="230">
        <v>0</v>
      </c>
      <c r="AG68" s="230">
        <v>1</v>
      </c>
      <c r="AH68" s="230">
        <v>0</v>
      </c>
      <c r="AI68" s="230">
        <v>0</v>
      </c>
      <c r="AJ68" s="245">
        <f t="shared" si="4"/>
        <v>0</v>
      </c>
      <c r="AK68" s="226"/>
      <c r="AN68" s="225"/>
      <c r="AO68" s="225" t="s">
        <v>163</v>
      </c>
      <c r="AP68" s="230">
        <v>0</v>
      </c>
      <c r="AQ68" s="230">
        <v>1</v>
      </c>
      <c r="AR68" s="230">
        <v>0</v>
      </c>
      <c r="AS68" s="230">
        <v>0</v>
      </c>
      <c r="AT68" s="245">
        <f t="shared" si="5"/>
        <v>0</v>
      </c>
      <c r="AU68" s="226"/>
      <c r="AX68" s="225"/>
      <c r="AY68" s="225" t="s">
        <v>163</v>
      </c>
      <c r="AZ68" s="230">
        <v>0</v>
      </c>
      <c r="BA68" s="230">
        <v>1</v>
      </c>
      <c r="BB68" s="230">
        <v>0</v>
      </c>
      <c r="BC68" s="230">
        <v>0</v>
      </c>
      <c r="BD68" s="245">
        <f t="shared" si="6"/>
        <v>0</v>
      </c>
      <c r="BE68" s="226"/>
      <c r="BI68" s="225"/>
      <c r="BJ68" s="225" t="s">
        <v>163</v>
      </c>
      <c r="BK68" s="230">
        <v>0</v>
      </c>
      <c r="BL68" s="230">
        <v>1</v>
      </c>
      <c r="BM68" s="230">
        <v>0</v>
      </c>
      <c r="BN68" s="230">
        <v>0</v>
      </c>
      <c r="BO68" s="245">
        <f t="shared" si="7"/>
        <v>0</v>
      </c>
      <c r="BP68" s="226"/>
    </row>
    <row r="69" spans="1:68" ht="12.75" hidden="1">
      <c r="A69" s="214" t="s">
        <v>191</v>
      </c>
      <c r="B69" s="314" t="e">
        <f>G7*(IF(D$14="Y",(#REF!*(#REF!+#REF!)),0)+IF(D$15="Y",(#REF!*(#REF!+#REF!)),0)+IF(D$16="Y",(#REF!*('3. MACHINES'!D37+'3. MACHINES'!D39)),0)+IF(D$17="Y",(#REF!*('3. MACHINES'!#REF!+'3. MACHINES'!#REF!)),0)+IF(D$18="Y",(#REF!*('3. MACHINES'!#REF!+'3. MACHINES'!#REF!)),0)+IF(D$19="Y",(#REF!*('3. MACHINES'!#REF!+'3. MACHINES'!#REF!)),0)+IF(D$20="Y",(#REF!*('3. MACHINES'!#REF!+'3. MACHINES'!#REF!)),0)+IF(D$21="Y",(#REF!*('3. MACHINES'!#REF!+'3. MACHINES'!#REF!)),0))</f>
        <v>#REF!</v>
      </c>
      <c r="C69" s="214" t="s">
        <v>192</v>
      </c>
      <c r="D69" s="214" t="s">
        <v>193</v>
      </c>
      <c r="F69" s="384" t="e">
        <f>C69*#REF!</f>
        <v>#VALUE!</v>
      </c>
      <c r="H69" s="225"/>
      <c r="I69" s="225" t="s">
        <v>164</v>
      </c>
      <c r="J69" s="230">
        <v>0</v>
      </c>
      <c r="K69" s="230">
        <v>1</v>
      </c>
      <c r="L69" s="230">
        <v>0</v>
      </c>
      <c r="M69" s="245" t="e">
        <f>(J69*L69*#REF!)/K69</f>
        <v>#REF!</v>
      </c>
      <c r="N69" s="226"/>
      <c r="T69" s="225"/>
      <c r="U69" s="225" t="s">
        <v>164</v>
      </c>
      <c r="V69" s="230"/>
      <c r="W69" s="230"/>
      <c r="X69" s="230"/>
      <c r="Y69" s="230"/>
      <c r="Z69" s="245" t="e">
        <f t="shared" si="3"/>
        <v>#DIV/0!</v>
      </c>
      <c r="AA69" s="226"/>
      <c r="AD69" s="225"/>
      <c r="AE69" s="225" t="s">
        <v>164</v>
      </c>
      <c r="AF69" s="230">
        <v>0</v>
      </c>
      <c r="AG69" s="230">
        <v>1</v>
      </c>
      <c r="AH69" s="230">
        <v>0</v>
      </c>
      <c r="AI69" s="230">
        <v>0</v>
      </c>
      <c r="AJ69" s="245">
        <f t="shared" si="4"/>
        <v>0</v>
      </c>
      <c r="AK69" s="226"/>
      <c r="AN69" s="225"/>
      <c r="AO69" s="225" t="s">
        <v>164</v>
      </c>
      <c r="AP69" s="230">
        <v>0</v>
      </c>
      <c r="AQ69" s="230">
        <v>1</v>
      </c>
      <c r="AR69" s="230">
        <v>0</v>
      </c>
      <c r="AS69" s="230">
        <v>0</v>
      </c>
      <c r="AT69" s="245">
        <f t="shared" si="5"/>
        <v>0</v>
      </c>
      <c r="AU69" s="226"/>
      <c r="AX69" s="225"/>
      <c r="AY69" s="225" t="s">
        <v>164</v>
      </c>
      <c r="AZ69" s="230">
        <v>0</v>
      </c>
      <c r="BA69" s="230">
        <v>1</v>
      </c>
      <c r="BB69" s="230">
        <v>0</v>
      </c>
      <c r="BC69" s="230">
        <v>0</v>
      </c>
      <c r="BD69" s="245">
        <f t="shared" si="6"/>
        <v>0</v>
      </c>
      <c r="BE69" s="226"/>
      <c r="BI69" s="225"/>
      <c r="BJ69" s="225" t="s">
        <v>164</v>
      </c>
      <c r="BK69" s="230">
        <v>0</v>
      </c>
      <c r="BL69" s="230">
        <v>1</v>
      </c>
      <c r="BM69" s="230">
        <v>0</v>
      </c>
      <c r="BN69" s="230">
        <v>0</v>
      </c>
      <c r="BO69" s="245">
        <f t="shared" si="7"/>
        <v>0</v>
      </c>
      <c r="BP69" s="226"/>
    </row>
    <row r="70" spans="1:68" ht="12.75" hidden="1">
      <c r="A70" s="214" t="s">
        <v>194</v>
      </c>
      <c r="B70" s="314" t="e">
        <f>G7*(IF(D$14="Y",(#REF!*#REF!),0)+IF(D$15="Y",(#REF!*#REF!),0)+IF(D$16="Y",(#REF!*'3. MACHINES'!D41),0)+IF(D$17="Y",(#REF!*'3. MACHINES'!#REF!),0)+IF(D$18="Y",(#REF!*'3. MACHINES'!#REF!),0)+IF(D$19="Y",(#REF!*'3. MACHINES'!#REF!),0)+IF(D$20="Y",(#REF!*'3. MACHINES'!#REF!),0)+IF(D$21="Y",(#REF!*'3. MACHINES'!#REF!),0))</f>
        <v>#REF!</v>
      </c>
      <c r="F70" s="384" t="e">
        <f>C70*#REF!</f>
        <v>#REF!</v>
      </c>
      <c r="H70" s="225"/>
      <c r="I70" s="225" t="s">
        <v>165</v>
      </c>
      <c r="J70" s="230">
        <v>0</v>
      </c>
      <c r="K70" s="230">
        <v>1</v>
      </c>
      <c r="L70" s="230">
        <v>0</v>
      </c>
      <c r="M70" s="245" t="e">
        <f>(J70*L70*#REF!)/K70</f>
        <v>#REF!</v>
      </c>
      <c r="N70" s="226"/>
      <c r="T70" s="225"/>
      <c r="U70" s="225" t="s">
        <v>165</v>
      </c>
      <c r="V70" s="230"/>
      <c r="W70" s="230"/>
      <c r="X70" s="230"/>
      <c r="Y70" s="230"/>
      <c r="Z70" s="245" t="e">
        <f t="shared" si="3"/>
        <v>#DIV/0!</v>
      </c>
      <c r="AA70" s="226"/>
      <c r="AD70" s="225"/>
      <c r="AE70" s="225" t="s">
        <v>165</v>
      </c>
      <c r="AF70" s="230">
        <v>0</v>
      </c>
      <c r="AG70" s="230">
        <v>1</v>
      </c>
      <c r="AH70" s="230">
        <v>0</v>
      </c>
      <c r="AI70" s="230">
        <v>0</v>
      </c>
      <c r="AJ70" s="245">
        <f t="shared" si="4"/>
        <v>0</v>
      </c>
      <c r="AK70" s="226"/>
      <c r="AN70" s="225"/>
      <c r="AO70" s="225" t="s">
        <v>165</v>
      </c>
      <c r="AP70" s="230">
        <v>0</v>
      </c>
      <c r="AQ70" s="230">
        <v>1</v>
      </c>
      <c r="AR70" s="230">
        <v>0</v>
      </c>
      <c r="AS70" s="230">
        <v>0</v>
      </c>
      <c r="AT70" s="245">
        <f t="shared" si="5"/>
        <v>0</v>
      </c>
      <c r="AU70" s="226"/>
      <c r="AX70" s="225"/>
      <c r="AY70" s="225" t="s">
        <v>165</v>
      </c>
      <c r="AZ70" s="230">
        <v>0</v>
      </c>
      <c r="BA70" s="230">
        <v>1</v>
      </c>
      <c r="BB70" s="230">
        <v>0</v>
      </c>
      <c r="BC70" s="230">
        <v>0</v>
      </c>
      <c r="BD70" s="245">
        <f t="shared" si="6"/>
        <v>0</v>
      </c>
      <c r="BE70" s="226"/>
      <c r="BI70" s="225"/>
      <c r="BJ70" s="225" t="s">
        <v>165</v>
      </c>
      <c r="BK70" s="230">
        <v>0</v>
      </c>
      <c r="BL70" s="230">
        <v>1</v>
      </c>
      <c r="BM70" s="230">
        <v>0</v>
      </c>
      <c r="BN70" s="230">
        <v>0</v>
      </c>
      <c r="BO70" s="245">
        <f t="shared" si="7"/>
        <v>0</v>
      </c>
      <c r="BP70" s="226"/>
    </row>
    <row r="71" spans="1:68" ht="12.75" hidden="1">
      <c r="A71" s="214" t="s">
        <v>195</v>
      </c>
      <c r="B71" s="314">
        <f>IF(D11="Y",(F11*G7),0)</f>
        <v>40154.388855</v>
      </c>
      <c r="F71" s="384" t="e">
        <f>C71*#REF!</f>
        <v>#REF!</v>
      </c>
      <c r="H71" s="225"/>
      <c r="I71" s="225" t="s">
        <v>166</v>
      </c>
      <c r="J71" s="230">
        <v>0</v>
      </c>
      <c r="K71" s="230">
        <v>1</v>
      </c>
      <c r="L71" s="230">
        <v>0</v>
      </c>
      <c r="M71" s="245" t="e">
        <f>(J71*L71*#REF!)/K71</f>
        <v>#REF!</v>
      </c>
      <c r="N71" s="226"/>
      <c r="T71" s="225"/>
      <c r="U71" s="225" t="s">
        <v>167</v>
      </c>
      <c r="V71" s="230"/>
      <c r="W71" s="230"/>
      <c r="X71" s="230"/>
      <c r="Y71" s="230"/>
      <c r="Z71" s="245" t="e">
        <f t="shared" si="3"/>
        <v>#DIV/0!</v>
      </c>
      <c r="AA71" s="226"/>
      <c r="AD71" s="225"/>
      <c r="AE71" s="225" t="s">
        <v>166</v>
      </c>
      <c r="AF71" s="230">
        <v>0</v>
      </c>
      <c r="AG71" s="230">
        <v>1</v>
      </c>
      <c r="AH71" s="230">
        <v>0</v>
      </c>
      <c r="AI71" s="230">
        <v>0</v>
      </c>
      <c r="AJ71" s="245">
        <f t="shared" si="4"/>
        <v>0</v>
      </c>
      <c r="AK71" s="226"/>
      <c r="AN71" s="225"/>
      <c r="AO71" s="225" t="s">
        <v>166</v>
      </c>
      <c r="AP71" s="230">
        <v>0</v>
      </c>
      <c r="AQ71" s="230">
        <v>1</v>
      </c>
      <c r="AR71" s="230">
        <v>0</v>
      </c>
      <c r="AS71" s="230">
        <v>0</v>
      </c>
      <c r="AT71" s="245">
        <f t="shared" si="5"/>
        <v>0</v>
      </c>
      <c r="AU71" s="226"/>
      <c r="AX71" s="225"/>
      <c r="AY71" s="225" t="s">
        <v>166</v>
      </c>
      <c r="AZ71" s="230">
        <v>0</v>
      </c>
      <c r="BA71" s="230">
        <v>1</v>
      </c>
      <c r="BB71" s="230">
        <v>0</v>
      </c>
      <c r="BC71" s="230">
        <v>0</v>
      </c>
      <c r="BD71" s="245">
        <f t="shared" si="6"/>
        <v>0</v>
      </c>
      <c r="BE71" s="226"/>
      <c r="BI71" s="225"/>
      <c r="BJ71" s="225" t="s">
        <v>166</v>
      </c>
      <c r="BK71" s="230">
        <v>0</v>
      </c>
      <c r="BL71" s="230">
        <v>1</v>
      </c>
      <c r="BM71" s="230">
        <v>0</v>
      </c>
      <c r="BN71" s="230">
        <v>0</v>
      </c>
      <c r="BO71" s="245">
        <f t="shared" si="7"/>
        <v>0</v>
      </c>
      <c r="BP71" s="226"/>
    </row>
    <row r="72" spans="1:68" ht="12.75" hidden="1">
      <c r="A72" s="214" t="s">
        <v>196</v>
      </c>
      <c r="B72" s="314">
        <f>IF(D12="Y",(F12*G7),0)</f>
        <v>27466.666666666668</v>
      </c>
      <c r="F72" s="384" t="e">
        <f>C72*#REF!</f>
        <v>#REF!</v>
      </c>
      <c r="H72" s="225"/>
      <c r="I72" s="225" t="s">
        <v>94</v>
      </c>
      <c r="J72" s="230">
        <v>0</v>
      </c>
      <c r="K72" s="230">
        <v>1</v>
      </c>
      <c r="L72" s="230">
        <v>0</v>
      </c>
      <c r="M72" s="245" t="e">
        <f>(J72*L72*#REF!)/K72</f>
        <v>#REF!</v>
      </c>
      <c r="N72" s="226"/>
      <c r="T72" s="225"/>
      <c r="U72" s="225" t="s">
        <v>94</v>
      </c>
      <c r="V72" s="230"/>
      <c r="W72" s="230"/>
      <c r="X72" s="230"/>
      <c r="Y72" s="230"/>
      <c r="Z72" s="245" t="e">
        <f t="shared" si="3"/>
        <v>#DIV/0!</v>
      </c>
      <c r="AA72" s="226"/>
      <c r="AD72" s="225"/>
      <c r="AE72" s="225" t="s">
        <v>94</v>
      </c>
      <c r="AF72" s="230">
        <v>0</v>
      </c>
      <c r="AG72" s="230">
        <v>1</v>
      </c>
      <c r="AH72" s="230">
        <v>0</v>
      </c>
      <c r="AI72" s="230">
        <v>0</v>
      </c>
      <c r="AJ72" s="245">
        <f t="shared" si="4"/>
        <v>0</v>
      </c>
      <c r="AK72" s="226"/>
      <c r="AN72" s="225"/>
      <c r="AO72" s="225" t="s">
        <v>94</v>
      </c>
      <c r="AP72" s="230">
        <v>0</v>
      </c>
      <c r="AQ72" s="230">
        <v>1</v>
      </c>
      <c r="AR72" s="230">
        <v>0</v>
      </c>
      <c r="AS72" s="230">
        <v>0</v>
      </c>
      <c r="AT72" s="245">
        <f t="shared" si="5"/>
        <v>0</v>
      </c>
      <c r="AU72" s="226"/>
      <c r="AX72" s="225"/>
      <c r="AY72" s="225" t="s">
        <v>94</v>
      </c>
      <c r="AZ72" s="230">
        <v>0</v>
      </c>
      <c r="BA72" s="230">
        <v>1</v>
      </c>
      <c r="BB72" s="230">
        <v>0</v>
      </c>
      <c r="BC72" s="230">
        <v>0</v>
      </c>
      <c r="BD72" s="245">
        <f t="shared" si="6"/>
        <v>0</v>
      </c>
      <c r="BE72" s="226"/>
      <c r="BI72" s="225"/>
      <c r="BJ72" s="225" t="s">
        <v>94</v>
      </c>
      <c r="BK72" s="230">
        <v>0</v>
      </c>
      <c r="BL72" s="230">
        <v>1</v>
      </c>
      <c r="BM72" s="230">
        <v>0</v>
      </c>
      <c r="BN72" s="230">
        <v>0</v>
      </c>
      <c r="BO72" s="245">
        <f t="shared" si="7"/>
        <v>0</v>
      </c>
      <c r="BP72" s="226"/>
    </row>
    <row r="73" spans="1:68" ht="13.5" hidden="1" thickBot="1">
      <c r="A73" s="214" t="s">
        <v>197</v>
      </c>
      <c r="B73" s="314" t="e">
        <f>G7*(IF(D$14="Y",(#REF!*#REF!),0)+IF(D$15="Y",(#REF!*#REF!),0)+IF(D$16="Y",(#REF!*'3. MACHINES'!D31),0)+IF(D$17="Y",(#REF!*'3. MACHINES'!#REF!),0)+IF(D$18="Y",(#REF!*'3. MACHINES'!#REF!),0)+IF(D$19="Y",(#REF!*'3. MACHINES'!#REF!),0)+IF(D$20="Y",(#REF!*'3. MACHINES'!#REF!),0)+IF(D$21="Y",(#REF!*'3. MACHINES'!#REF!),0))</f>
        <v>#REF!</v>
      </c>
      <c r="F73" s="384" t="e">
        <f>C73*#REF!</f>
        <v>#REF!</v>
      </c>
      <c r="H73" s="225"/>
      <c r="I73" s="219" t="s">
        <v>25</v>
      </c>
      <c r="J73" s="248"/>
      <c r="K73" s="248"/>
      <c r="L73" s="248"/>
      <c r="M73" s="249" t="e">
        <f>SUM(M65:M72)</f>
        <v>#REF!</v>
      </c>
      <c r="N73" s="226"/>
      <c r="T73" s="225"/>
      <c r="U73" s="219" t="s">
        <v>25</v>
      </c>
      <c r="V73" s="248"/>
      <c r="W73" s="248"/>
      <c r="X73" s="248"/>
      <c r="Y73" s="248"/>
      <c r="Z73" s="249" t="e">
        <f>SUM(Z65:Z72)</f>
        <v>#DIV/0!</v>
      </c>
      <c r="AA73" s="226"/>
      <c r="AD73" s="225"/>
      <c r="AE73" s="219" t="s">
        <v>25</v>
      </c>
      <c r="AF73" s="248"/>
      <c r="AG73" s="248"/>
      <c r="AH73" s="248"/>
      <c r="AI73" s="248"/>
      <c r="AJ73" s="249">
        <f>SUM(AJ65:AJ72)</f>
        <v>0</v>
      </c>
      <c r="AK73" s="226"/>
      <c r="AN73" s="225"/>
      <c r="AO73" s="219" t="s">
        <v>25</v>
      </c>
      <c r="AP73" s="248"/>
      <c r="AQ73" s="248"/>
      <c r="AR73" s="248"/>
      <c r="AS73" s="248"/>
      <c r="AT73" s="249">
        <f>SUM(AT65:AT72)</f>
        <v>0</v>
      </c>
      <c r="AU73" s="226"/>
      <c r="AX73" s="225"/>
      <c r="AY73" s="219" t="s">
        <v>25</v>
      </c>
      <c r="AZ73" s="248"/>
      <c r="BA73" s="248"/>
      <c r="BB73" s="248"/>
      <c r="BC73" s="248"/>
      <c r="BD73" s="249">
        <f>SUM(BD65:BD72)</f>
        <v>0</v>
      </c>
      <c r="BE73" s="226"/>
      <c r="BI73" s="225"/>
      <c r="BJ73" s="219" t="s">
        <v>25</v>
      </c>
      <c r="BK73" s="248"/>
      <c r="BL73" s="248"/>
      <c r="BM73" s="248"/>
      <c r="BN73" s="248"/>
      <c r="BO73" s="249">
        <f>SUM(BO65:BO72)</f>
        <v>0</v>
      </c>
      <c r="BP73" s="226"/>
    </row>
    <row r="74" spans="1:68" ht="12.75" hidden="1">
      <c r="A74" s="214" t="s">
        <v>198</v>
      </c>
      <c r="B74" s="314" t="e">
        <f>IF(D$13="Y",(G7*E13*#REF!*('5. CHAINSAWS'!D35+'5. CHAINSAWS'!D15)),0)</f>
        <v>#REF!</v>
      </c>
      <c r="F74" s="384" t="e">
        <f>C74*#REF!</f>
        <v>#REF!</v>
      </c>
      <c r="H74" s="225"/>
      <c r="I74" s="213"/>
      <c r="J74" s="213"/>
      <c r="K74" s="213"/>
      <c r="L74" s="213"/>
      <c r="M74" s="213"/>
      <c r="N74" s="226"/>
      <c r="T74" s="225"/>
      <c r="U74" s="213"/>
      <c r="V74" s="213"/>
      <c r="W74" s="213"/>
      <c r="X74" s="213"/>
      <c r="Y74" s="213"/>
      <c r="Z74" s="213"/>
      <c r="AA74" s="226"/>
      <c r="AD74" s="225"/>
      <c r="AE74" s="213"/>
      <c r="AF74" s="213"/>
      <c r="AG74" s="213"/>
      <c r="AH74" s="213"/>
      <c r="AI74" s="213"/>
      <c r="AJ74" s="213"/>
      <c r="AK74" s="226"/>
      <c r="AN74" s="225"/>
      <c r="AO74" s="213"/>
      <c r="AP74" s="213"/>
      <c r="AQ74" s="213"/>
      <c r="AR74" s="213"/>
      <c r="AS74" s="213"/>
      <c r="AT74" s="213"/>
      <c r="AU74" s="226"/>
      <c r="AX74" s="225"/>
      <c r="AY74" s="213"/>
      <c r="AZ74" s="213"/>
      <c r="BA74" s="213"/>
      <c r="BB74" s="213"/>
      <c r="BC74" s="213"/>
      <c r="BD74" s="213"/>
      <c r="BE74" s="226"/>
      <c r="BI74" s="225"/>
      <c r="BJ74" s="213"/>
      <c r="BK74" s="213"/>
      <c r="BL74" s="213"/>
      <c r="BM74" s="213"/>
      <c r="BN74" s="213"/>
      <c r="BO74" s="213"/>
      <c r="BP74" s="226"/>
    </row>
    <row r="75" spans="1:68" ht="12.75" hidden="1">
      <c r="A75" s="214" t="s">
        <v>199</v>
      </c>
      <c r="B75" s="314" t="e">
        <f>G7*(IF(D$16="Y",(#REF!*'3. MACHINES'!D43),0)+IF(D$17="Y",(#REF!*'3. MACHINES'!#REF!),0)+IF(D$18="Y",(#REF!*'3. MACHINES'!#REF!),0)+IF(D$19="Y",(#REF!*'3. MACHINES'!#REF!),0)+IF(D$20="Y",(#REF!*'3. MACHINES'!#REF!),0)+IF(D$21="Y",(#REF!*'3. MACHINES'!#REF!),0))</f>
        <v>#REF!</v>
      </c>
      <c r="F75" s="384" t="e">
        <f>C75*#REF!</f>
        <v>#REF!</v>
      </c>
      <c r="H75" s="225"/>
      <c r="I75" s="213"/>
      <c r="J75" s="213"/>
      <c r="K75" s="213"/>
      <c r="L75" s="213"/>
      <c r="M75" s="213"/>
      <c r="N75" s="226"/>
      <c r="T75" s="225"/>
      <c r="U75" s="213"/>
      <c r="V75" s="213"/>
      <c r="W75" s="213"/>
      <c r="X75" s="213"/>
      <c r="Y75" s="213"/>
      <c r="Z75" s="213"/>
      <c r="AA75" s="226"/>
      <c r="AD75" s="225"/>
      <c r="AE75" s="213"/>
      <c r="AF75" s="213"/>
      <c r="AG75" s="213"/>
      <c r="AH75" s="213"/>
      <c r="AI75" s="213"/>
      <c r="AJ75" s="213"/>
      <c r="AK75" s="226"/>
      <c r="AN75" s="225"/>
      <c r="AO75" s="213"/>
      <c r="AP75" s="213"/>
      <c r="AQ75" s="213"/>
      <c r="AR75" s="213"/>
      <c r="AS75" s="213"/>
      <c r="AT75" s="213"/>
      <c r="AU75" s="226"/>
      <c r="AX75" s="225"/>
      <c r="AY75" s="213"/>
      <c r="AZ75" s="213"/>
      <c r="BA75" s="213"/>
      <c r="BB75" s="213"/>
      <c r="BC75" s="213"/>
      <c r="BD75" s="213"/>
      <c r="BE75" s="226"/>
      <c r="BI75" s="225"/>
      <c r="BJ75" s="213"/>
      <c r="BK75" s="213"/>
      <c r="BL75" s="213"/>
      <c r="BM75" s="213"/>
      <c r="BN75" s="213"/>
      <c r="BO75" s="213"/>
      <c r="BP75" s="226"/>
    </row>
    <row r="76" spans="1:68" ht="16.5" hidden="1" thickTop="1">
      <c r="A76" s="214" t="s">
        <v>201</v>
      </c>
      <c r="B76" s="314" t="e">
        <f>G7*(IF(D$14="Y",(#REF!*#REF!),0)+IF(D$15="Y",(#REF!*#REF!),0)+IF(D$16="Y",(#REF!*'3. MACHINES'!D42),0)+IF(D$17="Y",(#REF!*'3. MACHINES'!#REF!),0)+IF(D$18="Y",(#REF!*'3. MACHINES'!#REF!),0)+IF(D$19="Y",(#REF!*'3. MACHINES'!#REF!),0)+IF(D$20="Y",(#REF!*'3. MACHINES'!#REF!),0)+IF(D$21="Y",(#REF!*'3. MACHINES'!#REF!),0))</f>
        <v>#REF!</v>
      </c>
      <c r="F76" s="384" t="e">
        <f>C76*#REF!</f>
        <v>#REF!</v>
      </c>
      <c r="H76" s="225"/>
      <c r="I76" s="250" t="s">
        <v>150</v>
      </c>
      <c r="J76" s="216"/>
      <c r="K76" s="240" t="s">
        <v>168</v>
      </c>
      <c r="L76" s="240" t="s">
        <v>156</v>
      </c>
      <c r="M76" s="241" t="s">
        <v>156</v>
      </c>
      <c r="N76" s="226"/>
      <c r="T76" s="225"/>
      <c r="U76" s="250" t="s">
        <v>150</v>
      </c>
      <c r="V76" s="216"/>
      <c r="W76" s="240" t="s">
        <v>168</v>
      </c>
      <c r="X76" s="240" t="s">
        <v>156</v>
      </c>
      <c r="Y76" s="240" t="s">
        <v>52</v>
      </c>
      <c r="Z76" s="241" t="s">
        <v>156</v>
      </c>
      <c r="AA76" s="226"/>
      <c r="AD76" s="225"/>
      <c r="AE76" s="250" t="s">
        <v>150</v>
      </c>
      <c r="AF76" s="216"/>
      <c r="AG76" s="240" t="s">
        <v>168</v>
      </c>
      <c r="AH76" s="240" t="s">
        <v>156</v>
      </c>
      <c r="AI76" s="240" t="s">
        <v>52</v>
      </c>
      <c r="AJ76" s="241" t="s">
        <v>156</v>
      </c>
      <c r="AK76" s="226"/>
      <c r="AN76" s="225"/>
      <c r="AO76" s="250" t="s">
        <v>150</v>
      </c>
      <c r="AP76" s="216"/>
      <c r="AQ76" s="240" t="s">
        <v>168</v>
      </c>
      <c r="AR76" s="240" t="s">
        <v>156</v>
      </c>
      <c r="AS76" s="240" t="s">
        <v>52</v>
      </c>
      <c r="AT76" s="241" t="s">
        <v>156</v>
      </c>
      <c r="AU76" s="226"/>
      <c r="AX76" s="225"/>
      <c r="AY76" s="250" t="s">
        <v>150</v>
      </c>
      <c r="AZ76" s="216"/>
      <c r="BA76" s="240" t="s">
        <v>168</v>
      </c>
      <c r="BB76" s="240" t="s">
        <v>156</v>
      </c>
      <c r="BC76" s="240" t="s">
        <v>52</v>
      </c>
      <c r="BD76" s="241" t="s">
        <v>156</v>
      </c>
      <c r="BE76" s="226"/>
      <c r="BI76" s="225"/>
      <c r="BJ76" s="250" t="s">
        <v>150</v>
      </c>
      <c r="BK76" s="216"/>
      <c r="BL76" s="240" t="s">
        <v>168</v>
      </c>
      <c r="BM76" s="240" t="s">
        <v>156</v>
      </c>
      <c r="BN76" s="240" t="s">
        <v>52</v>
      </c>
      <c r="BO76" s="241" t="s">
        <v>156</v>
      </c>
      <c r="BP76" s="226"/>
    </row>
    <row r="77" spans="1:68" ht="12.75" hidden="1">
      <c r="A77" s="247" t="s">
        <v>204</v>
      </c>
      <c r="B77" s="314" t="e">
        <f>G7*(IF(D$14="Y",(#REF!*(#REF!+#REF!)),0)+IF(D$15="Y",(#REF!*(#REF!+#REF!)),0))</f>
        <v>#REF!</v>
      </c>
      <c r="F77" s="384" t="e">
        <f>C77*#REF!</f>
        <v>#REF!</v>
      </c>
      <c r="H77" s="225"/>
      <c r="I77" s="251" t="s">
        <v>45</v>
      </c>
      <c r="J77" s="252"/>
      <c r="K77" s="236" t="s">
        <v>169</v>
      </c>
      <c r="L77" s="243"/>
      <c r="M77" s="244" t="s">
        <v>170</v>
      </c>
      <c r="N77" s="226"/>
      <c r="T77" s="225"/>
      <c r="U77" s="251" t="s">
        <v>45</v>
      </c>
      <c r="V77" s="252"/>
      <c r="W77" s="236" t="s">
        <v>169</v>
      </c>
      <c r="X77" s="243"/>
      <c r="Y77" s="243"/>
      <c r="Z77" s="244" t="s">
        <v>170</v>
      </c>
      <c r="AA77" s="226"/>
      <c r="AD77" s="225"/>
      <c r="AE77" s="251" t="s">
        <v>45</v>
      </c>
      <c r="AF77" s="252"/>
      <c r="AG77" s="236" t="s">
        <v>169</v>
      </c>
      <c r="AH77" s="243"/>
      <c r="AI77" s="243"/>
      <c r="AJ77" s="244" t="s">
        <v>170</v>
      </c>
      <c r="AK77" s="226"/>
      <c r="AN77" s="225"/>
      <c r="AO77" s="251" t="s">
        <v>45</v>
      </c>
      <c r="AP77" s="252"/>
      <c r="AQ77" s="236" t="s">
        <v>169</v>
      </c>
      <c r="AR77" s="243"/>
      <c r="AS77" s="243"/>
      <c r="AT77" s="244" t="s">
        <v>170</v>
      </c>
      <c r="AU77" s="226"/>
      <c r="AX77" s="225"/>
      <c r="AY77" s="251" t="s">
        <v>45</v>
      </c>
      <c r="AZ77" s="252"/>
      <c r="BA77" s="236" t="s">
        <v>169</v>
      </c>
      <c r="BB77" s="243"/>
      <c r="BC77" s="243"/>
      <c r="BD77" s="244" t="s">
        <v>170</v>
      </c>
      <c r="BE77" s="226"/>
      <c r="BI77" s="225"/>
      <c r="BJ77" s="251" t="s">
        <v>45</v>
      </c>
      <c r="BK77" s="252"/>
      <c r="BL77" s="236" t="s">
        <v>169</v>
      </c>
      <c r="BM77" s="243"/>
      <c r="BN77" s="243"/>
      <c r="BO77" s="244" t="s">
        <v>170</v>
      </c>
      <c r="BP77" s="226"/>
    </row>
    <row r="78" spans="6:68" ht="12.75" hidden="1">
      <c r="F78" s="384" t="e">
        <f>C78*#REF!</f>
        <v>#REF!</v>
      </c>
      <c r="H78" s="225"/>
      <c r="I78" s="225" t="s">
        <v>171</v>
      </c>
      <c r="J78" s="213"/>
      <c r="K78" s="230">
        <v>1</v>
      </c>
      <c r="L78" s="230"/>
      <c r="M78" s="226" t="e">
        <f>(L78*#REF!)/K78</f>
        <v>#REF!</v>
      </c>
      <c r="N78" s="226"/>
      <c r="T78" s="225"/>
      <c r="U78" s="225" t="s">
        <v>171</v>
      </c>
      <c r="V78" s="213"/>
      <c r="W78" s="230"/>
      <c r="X78" s="230"/>
      <c r="Y78" s="230"/>
      <c r="Z78" s="226" t="e">
        <f aca="true" t="shared" si="8" ref="Z78:Z89">(X78*Y78)/W78</f>
        <v>#DIV/0!</v>
      </c>
      <c r="AA78" s="226"/>
      <c r="AD78" s="225"/>
      <c r="AE78" s="225" t="s">
        <v>171</v>
      </c>
      <c r="AF78" s="213"/>
      <c r="AG78" s="230">
        <v>1</v>
      </c>
      <c r="AH78" s="230"/>
      <c r="AI78" s="230"/>
      <c r="AJ78" s="226">
        <f aca="true" t="shared" si="9" ref="AJ78:AJ89">(AH78*AI78)/AG78</f>
        <v>0</v>
      </c>
      <c r="AK78" s="226"/>
      <c r="AN78" s="225"/>
      <c r="AO78" s="225" t="s">
        <v>171</v>
      </c>
      <c r="AP78" s="213"/>
      <c r="AQ78" s="230">
        <v>1</v>
      </c>
      <c r="AR78" s="230"/>
      <c r="AS78" s="230"/>
      <c r="AT78" s="226">
        <f aca="true" t="shared" si="10" ref="AT78:AT89">(AR78*AS78)/AQ78</f>
        <v>0</v>
      </c>
      <c r="AU78" s="226"/>
      <c r="AX78" s="225"/>
      <c r="AY78" s="225" t="s">
        <v>171</v>
      </c>
      <c r="AZ78" s="213"/>
      <c r="BA78" s="230">
        <v>1</v>
      </c>
      <c r="BB78" s="230"/>
      <c r="BC78" s="230"/>
      <c r="BD78" s="226">
        <f aca="true" t="shared" si="11" ref="BD78:BD89">(BB78*BC78)/BA78</f>
        <v>0</v>
      </c>
      <c r="BE78" s="226"/>
      <c r="BI78" s="225"/>
      <c r="BJ78" s="225" t="s">
        <v>171</v>
      </c>
      <c r="BK78" s="213"/>
      <c r="BL78" s="230">
        <v>1</v>
      </c>
      <c r="BM78" s="230"/>
      <c r="BN78" s="230"/>
      <c r="BO78" s="226">
        <f aca="true" t="shared" si="12" ref="BO78:BO89">(BM78*BN78)/BL78</f>
        <v>0</v>
      </c>
      <c r="BP78" s="226"/>
    </row>
    <row r="79" spans="1:68" ht="12.75" hidden="1">
      <c r="A79" s="214" t="s">
        <v>213</v>
      </c>
      <c r="B79" s="314" t="e">
        <f>G7*(IF(D$14="Y",(#REF!*#REF!),0)+IF(D$15="Y",(#REF!*#REF!),0)+IF(D$16="Y",(#REF!*'3. MACHINES'!D22),0)+IF(D$17="Y",(#REF!*'3. MACHINES'!#REF!),0)+IF(D$18="Y",(#REF!*'3. MACHINES'!#REF!),0)+IF(D$19="Y",(#REF!*'3. MACHINES'!#REF!),0)+IF(D$20="Y",(#REF!*'3. MACHINES'!#REF!),0)+IF(D$21="Y",(#REF!*'3. MACHINES'!#REF!),0))</f>
        <v>#REF!</v>
      </c>
      <c r="F79" s="384" t="e">
        <f>C79*#REF!</f>
        <v>#REF!</v>
      </c>
      <c r="H79" s="225"/>
      <c r="I79" s="225" t="s">
        <v>172</v>
      </c>
      <c r="J79" s="213"/>
      <c r="K79" s="230">
        <v>1</v>
      </c>
      <c r="L79" s="230"/>
      <c r="M79" s="226" t="e">
        <f>(L79*#REF!)/K79</f>
        <v>#REF!</v>
      </c>
      <c r="N79" s="226"/>
      <c r="T79" s="225"/>
      <c r="U79" s="225" t="s">
        <v>172</v>
      </c>
      <c r="V79" s="213"/>
      <c r="W79" s="230"/>
      <c r="X79" s="230"/>
      <c r="Y79" s="230"/>
      <c r="Z79" s="226" t="e">
        <f t="shared" si="8"/>
        <v>#DIV/0!</v>
      </c>
      <c r="AA79" s="226"/>
      <c r="AD79" s="225"/>
      <c r="AE79" s="225" t="s">
        <v>172</v>
      </c>
      <c r="AF79" s="213"/>
      <c r="AG79" s="230">
        <v>1</v>
      </c>
      <c r="AH79" s="230"/>
      <c r="AI79" s="230"/>
      <c r="AJ79" s="226">
        <f t="shared" si="9"/>
        <v>0</v>
      </c>
      <c r="AK79" s="226"/>
      <c r="AN79" s="225"/>
      <c r="AO79" s="225" t="s">
        <v>172</v>
      </c>
      <c r="AP79" s="213"/>
      <c r="AQ79" s="230">
        <v>1</v>
      </c>
      <c r="AR79" s="230"/>
      <c r="AS79" s="230"/>
      <c r="AT79" s="226">
        <f t="shared" si="10"/>
        <v>0</v>
      </c>
      <c r="AU79" s="226"/>
      <c r="AX79" s="225"/>
      <c r="AY79" s="225" t="s">
        <v>172</v>
      </c>
      <c r="AZ79" s="213"/>
      <c r="BA79" s="230">
        <v>1</v>
      </c>
      <c r="BB79" s="230"/>
      <c r="BC79" s="230"/>
      <c r="BD79" s="226">
        <f t="shared" si="11"/>
        <v>0</v>
      </c>
      <c r="BE79" s="226"/>
      <c r="BI79" s="225"/>
      <c r="BJ79" s="225" t="s">
        <v>172</v>
      </c>
      <c r="BK79" s="213"/>
      <c r="BL79" s="230">
        <v>1</v>
      </c>
      <c r="BM79" s="230"/>
      <c r="BN79" s="230"/>
      <c r="BO79" s="226">
        <f t="shared" si="12"/>
        <v>0</v>
      </c>
      <c r="BP79" s="226"/>
    </row>
    <row r="80" spans="1:68" ht="12.75" hidden="1">
      <c r="A80" s="214" t="s">
        <v>19</v>
      </c>
      <c r="B80" s="314" t="e">
        <f>G7*(IF(D$14="Y",(#REF!*#REF!),0)+IF(D$15="Y",(#REF!*#REF!),0)+IF(D$16="Y",(#REF!*'3. MACHINES'!D29),0)+IF(D$17="Y",(#REF!*'3. MACHINES'!#REF!),0)+IF(D$18="Y",(#REF!*'3. MACHINES'!#REF!),0)+IF(D$19="Y",(#REF!*'3. MACHINES'!#REF!),0)+IF(D$20="Y",(#REF!*'3. MACHINES'!#REF!),0)+IF(D$21="Y",(#REF!*'3. MACHINES'!#REF!),0))</f>
        <v>#REF!</v>
      </c>
      <c r="F80" s="384" t="e">
        <f>C80*#REF!</f>
        <v>#REF!</v>
      </c>
      <c r="H80" s="225"/>
      <c r="I80" s="225" t="s">
        <v>173</v>
      </c>
      <c r="J80" s="213"/>
      <c r="K80" s="230">
        <v>1</v>
      </c>
      <c r="L80" s="230"/>
      <c r="M80" s="226" t="e">
        <f>(L80*#REF!)/K80</f>
        <v>#REF!</v>
      </c>
      <c r="N80" s="226"/>
      <c r="T80" s="225"/>
      <c r="U80" s="225" t="s">
        <v>173</v>
      </c>
      <c r="V80" s="213"/>
      <c r="W80" s="230"/>
      <c r="X80" s="230"/>
      <c r="Y80" s="230"/>
      <c r="Z80" s="226" t="e">
        <f t="shared" si="8"/>
        <v>#DIV/0!</v>
      </c>
      <c r="AA80" s="226"/>
      <c r="AD80" s="225"/>
      <c r="AE80" s="225" t="s">
        <v>173</v>
      </c>
      <c r="AF80" s="213"/>
      <c r="AG80" s="230">
        <v>1</v>
      </c>
      <c r="AH80" s="230"/>
      <c r="AI80" s="230"/>
      <c r="AJ80" s="226">
        <f t="shared" si="9"/>
        <v>0</v>
      </c>
      <c r="AK80" s="226"/>
      <c r="AN80" s="225"/>
      <c r="AO80" s="225" t="s">
        <v>173</v>
      </c>
      <c r="AP80" s="213"/>
      <c r="AQ80" s="230">
        <v>1</v>
      </c>
      <c r="AR80" s="230"/>
      <c r="AS80" s="230"/>
      <c r="AT80" s="226">
        <f t="shared" si="10"/>
        <v>0</v>
      </c>
      <c r="AU80" s="226"/>
      <c r="AX80" s="225"/>
      <c r="AY80" s="225" t="s">
        <v>173</v>
      </c>
      <c r="AZ80" s="213"/>
      <c r="BA80" s="230">
        <v>1</v>
      </c>
      <c r="BB80" s="230"/>
      <c r="BC80" s="230"/>
      <c r="BD80" s="226">
        <f t="shared" si="11"/>
        <v>0</v>
      </c>
      <c r="BE80" s="226"/>
      <c r="BI80" s="225"/>
      <c r="BJ80" s="225" t="s">
        <v>173</v>
      </c>
      <c r="BK80" s="213"/>
      <c r="BL80" s="230">
        <v>1</v>
      </c>
      <c r="BM80" s="230"/>
      <c r="BN80" s="230"/>
      <c r="BO80" s="226">
        <f t="shared" si="12"/>
        <v>0</v>
      </c>
      <c r="BP80" s="226"/>
    </row>
    <row r="81" spans="6:68" ht="12.75" hidden="1">
      <c r="F81" s="384" t="e">
        <f>C81*#REF!</f>
        <v>#REF!</v>
      </c>
      <c r="H81" s="225"/>
      <c r="I81" s="225" t="s">
        <v>174</v>
      </c>
      <c r="J81" s="213"/>
      <c r="K81" s="230">
        <v>1</v>
      </c>
      <c r="L81" s="230"/>
      <c r="M81" s="226" t="e">
        <f>(L81*#REF!)/K81</f>
        <v>#REF!</v>
      </c>
      <c r="N81" s="226"/>
      <c r="T81" s="225"/>
      <c r="U81" s="225" t="s">
        <v>174</v>
      </c>
      <c r="V81" s="213"/>
      <c r="W81" s="230"/>
      <c r="X81" s="230"/>
      <c r="Y81" s="230"/>
      <c r="Z81" s="232" t="e">
        <f t="shared" si="8"/>
        <v>#DIV/0!</v>
      </c>
      <c r="AA81" s="226"/>
      <c r="AD81" s="225"/>
      <c r="AE81" s="225" t="s">
        <v>174</v>
      </c>
      <c r="AF81" s="213"/>
      <c r="AG81" s="230">
        <v>1</v>
      </c>
      <c r="AH81" s="230"/>
      <c r="AI81" s="230"/>
      <c r="AJ81" s="226">
        <f t="shared" si="9"/>
        <v>0</v>
      </c>
      <c r="AK81" s="226"/>
      <c r="AN81" s="225"/>
      <c r="AO81" s="225" t="s">
        <v>174</v>
      </c>
      <c r="AP81" s="213"/>
      <c r="AQ81" s="230">
        <v>1</v>
      </c>
      <c r="AR81" s="230"/>
      <c r="AS81" s="230"/>
      <c r="AT81" s="226">
        <f t="shared" si="10"/>
        <v>0</v>
      </c>
      <c r="AU81" s="226"/>
      <c r="AX81" s="225"/>
      <c r="AY81" s="225" t="s">
        <v>174</v>
      </c>
      <c r="AZ81" s="213"/>
      <c r="BA81" s="230">
        <v>1</v>
      </c>
      <c r="BB81" s="230"/>
      <c r="BC81" s="230"/>
      <c r="BD81" s="226">
        <f t="shared" si="11"/>
        <v>0</v>
      </c>
      <c r="BE81" s="226"/>
      <c r="BI81" s="225"/>
      <c r="BJ81" s="225" t="s">
        <v>174</v>
      </c>
      <c r="BK81" s="213"/>
      <c r="BL81" s="230">
        <v>1</v>
      </c>
      <c r="BM81" s="230"/>
      <c r="BN81" s="230"/>
      <c r="BO81" s="226">
        <f t="shared" si="12"/>
        <v>0</v>
      </c>
      <c r="BP81" s="226"/>
    </row>
    <row r="82" spans="6:68" ht="12.75" hidden="1">
      <c r="F82" s="384" t="e">
        <f>C82*#REF!</f>
        <v>#REF!</v>
      </c>
      <c r="H82" s="225"/>
      <c r="I82" s="225" t="s">
        <v>175</v>
      </c>
      <c r="J82" s="213"/>
      <c r="K82" s="230">
        <v>1</v>
      </c>
      <c r="L82" s="230"/>
      <c r="M82" s="226" t="e">
        <f>(L82*#REF!)/K82</f>
        <v>#REF!</v>
      </c>
      <c r="N82" s="226"/>
      <c r="T82" s="225"/>
      <c r="U82" s="225" t="s">
        <v>175</v>
      </c>
      <c r="V82" s="213"/>
      <c r="W82" s="230"/>
      <c r="X82" s="230"/>
      <c r="Y82" s="230"/>
      <c r="Z82" s="226" t="e">
        <f t="shared" si="8"/>
        <v>#DIV/0!</v>
      </c>
      <c r="AA82" s="226"/>
      <c r="AD82" s="225"/>
      <c r="AE82" s="225" t="s">
        <v>175</v>
      </c>
      <c r="AF82" s="213"/>
      <c r="AG82" s="230">
        <v>1</v>
      </c>
      <c r="AH82" s="230"/>
      <c r="AI82" s="230"/>
      <c r="AJ82" s="226">
        <f t="shared" si="9"/>
        <v>0</v>
      </c>
      <c r="AK82" s="226"/>
      <c r="AN82" s="225"/>
      <c r="AO82" s="225" t="s">
        <v>175</v>
      </c>
      <c r="AP82" s="213"/>
      <c r="AQ82" s="230">
        <v>1</v>
      </c>
      <c r="AR82" s="230"/>
      <c r="AS82" s="230"/>
      <c r="AT82" s="226">
        <f t="shared" si="10"/>
        <v>0</v>
      </c>
      <c r="AU82" s="226"/>
      <c r="AX82" s="225"/>
      <c r="AY82" s="225" t="s">
        <v>175</v>
      </c>
      <c r="AZ82" s="213"/>
      <c r="BA82" s="230">
        <v>1</v>
      </c>
      <c r="BB82" s="230"/>
      <c r="BC82" s="230"/>
      <c r="BD82" s="226">
        <f t="shared" si="11"/>
        <v>0</v>
      </c>
      <c r="BE82" s="226"/>
      <c r="BI82" s="225"/>
      <c r="BJ82" s="225" t="s">
        <v>175</v>
      </c>
      <c r="BK82" s="213"/>
      <c r="BL82" s="230">
        <v>1</v>
      </c>
      <c r="BM82" s="230"/>
      <c r="BN82" s="230"/>
      <c r="BO82" s="226">
        <f t="shared" si="12"/>
        <v>0</v>
      </c>
      <c r="BP82" s="226"/>
    </row>
    <row r="83" spans="6:68" ht="12.75" hidden="1">
      <c r="F83" s="384" t="e">
        <f>C83*#REF!</f>
        <v>#REF!</v>
      </c>
      <c r="H83" s="225"/>
      <c r="I83" s="225" t="s">
        <v>176</v>
      </c>
      <c r="J83" s="213"/>
      <c r="K83" s="230">
        <v>1</v>
      </c>
      <c r="L83" s="230"/>
      <c r="M83" s="226" t="e">
        <f>(L83*#REF!)/K83</f>
        <v>#REF!</v>
      </c>
      <c r="N83" s="226"/>
      <c r="T83" s="225"/>
      <c r="U83" s="225" t="s">
        <v>176</v>
      </c>
      <c r="V83" s="213"/>
      <c r="W83" s="230"/>
      <c r="X83" s="230"/>
      <c r="Y83" s="230"/>
      <c r="Z83" s="226" t="e">
        <f t="shared" si="8"/>
        <v>#DIV/0!</v>
      </c>
      <c r="AA83" s="226"/>
      <c r="AD83" s="225"/>
      <c r="AE83" s="225" t="s">
        <v>176</v>
      </c>
      <c r="AF83" s="213"/>
      <c r="AG83" s="230">
        <v>1</v>
      </c>
      <c r="AH83" s="230"/>
      <c r="AI83" s="230"/>
      <c r="AJ83" s="226">
        <f t="shared" si="9"/>
        <v>0</v>
      </c>
      <c r="AK83" s="226"/>
      <c r="AN83" s="225"/>
      <c r="AO83" s="225" t="s">
        <v>176</v>
      </c>
      <c r="AP83" s="213"/>
      <c r="AQ83" s="230">
        <v>1</v>
      </c>
      <c r="AR83" s="230"/>
      <c r="AS83" s="230"/>
      <c r="AT83" s="226">
        <f t="shared" si="10"/>
        <v>0</v>
      </c>
      <c r="AU83" s="226"/>
      <c r="AX83" s="225"/>
      <c r="AY83" s="225" t="s">
        <v>176</v>
      </c>
      <c r="AZ83" s="213"/>
      <c r="BA83" s="230">
        <v>1</v>
      </c>
      <c r="BB83" s="230"/>
      <c r="BC83" s="230"/>
      <c r="BD83" s="226">
        <f t="shared" si="11"/>
        <v>0</v>
      </c>
      <c r="BE83" s="226"/>
      <c r="BI83" s="225"/>
      <c r="BJ83" s="225" t="s">
        <v>176</v>
      </c>
      <c r="BK83" s="213"/>
      <c r="BL83" s="230">
        <v>1</v>
      </c>
      <c r="BM83" s="230"/>
      <c r="BN83" s="230"/>
      <c r="BO83" s="226">
        <f t="shared" si="12"/>
        <v>0</v>
      </c>
      <c r="BP83" s="226"/>
    </row>
    <row r="84" spans="6:68" ht="12.75" hidden="1">
      <c r="F84" s="384" t="e">
        <f>C84*#REF!</f>
        <v>#REF!</v>
      </c>
      <c r="H84" s="225"/>
      <c r="I84" s="225" t="s">
        <v>177</v>
      </c>
      <c r="J84" s="213"/>
      <c r="K84" s="230">
        <v>1</v>
      </c>
      <c r="L84" s="230"/>
      <c r="M84" s="226" t="e">
        <f>(L84*#REF!)/K84</f>
        <v>#REF!</v>
      </c>
      <c r="N84" s="226"/>
      <c r="T84" s="225"/>
      <c r="U84" s="225" t="s">
        <v>177</v>
      </c>
      <c r="V84" s="213"/>
      <c r="W84" s="230"/>
      <c r="X84" s="230"/>
      <c r="Y84" s="230"/>
      <c r="Z84" s="226" t="e">
        <f t="shared" si="8"/>
        <v>#DIV/0!</v>
      </c>
      <c r="AA84" s="226"/>
      <c r="AD84" s="225"/>
      <c r="AE84" s="225" t="s">
        <v>177</v>
      </c>
      <c r="AF84" s="213"/>
      <c r="AG84" s="230">
        <v>1</v>
      </c>
      <c r="AH84" s="230"/>
      <c r="AI84" s="230"/>
      <c r="AJ84" s="226">
        <f t="shared" si="9"/>
        <v>0</v>
      </c>
      <c r="AK84" s="226"/>
      <c r="AN84" s="225"/>
      <c r="AO84" s="225" t="s">
        <v>177</v>
      </c>
      <c r="AP84" s="213"/>
      <c r="AQ84" s="230">
        <v>1</v>
      </c>
      <c r="AR84" s="230"/>
      <c r="AS84" s="230"/>
      <c r="AT84" s="226">
        <f t="shared" si="10"/>
        <v>0</v>
      </c>
      <c r="AU84" s="226"/>
      <c r="AX84" s="225"/>
      <c r="AY84" s="225" t="s">
        <v>177</v>
      </c>
      <c r="AZ84" s="213"/>
      <c r="BA84" s="230">
        <v>1</v>
      </c>
      <c r="BB84" s="230"/>
      <c r="BC84" s="230"/>
      <c r="BD84" s="226">
        <f t="shared" si="11"/>
        <v>0</v>
      </c>
      <c r="BE84" s="226"/>
      <c r="BI84" s="225"/>
      <c r="BJ84" s="225" t="s">
        <v>177</v>
      </c>
      <c r="BK84" s="213"/>
      <c r="BL84" s="230">
        <v>1</v>
      </c>
      <c r="BM84" s="230"/>
      <c r="BN84" s="230"/>
      <c r="BO84" s="226">
        <f t="shared" si="12"/>
        <v>0</v>
      </c>
      <c r="BP84" s="226"/>
    </row>
    <row r="85" spans="6:68" ht="12.75" hidden="1">
      <c r="F85" s="384" t="e">
        <f>C85*#REF!</f>
        <v>#REF!</v>
      </c>
      <c r="H85" s="225"/>
      <c r="I85" s="225" t="s">
        <v>178</v>
      </c>
      <c r="J85" s="213"/>
      <c r="K85" s="230">
        <v>1</v>
      </c>
      <c r="L85" s="230"/>
      <c r="M85" s="226" t="e">
        <f>(L85*#REF!)/K85</f>
        <v>#REF!</v>
      </c>
      <c r="N85" s="226"/>
      <c r="T85" s="225"/>
      <c r="U85" s="225" t="s">
        <v>178</v>
      </c>
      <c r="V85" s="213"/>
      <c r="W85" s="230"/>
      <c r="X85" s="230"/>
      <c r="Y85" s="230"/>
      <c r="Z85" s="226" t="e">
        <f t="shared" si="8"/>
        <v>#DIV/0!</v>
      </c>
      <c r="AA85" s="226"/>
      <c r="AD85" s="225"/>
      <c r="AE85" s="225" t="s">
        <v>178</v>
      </c>
      <c r="AF85" s="213"/>
      <c r="AG85" s="230">
        <v>1</v>
      </c>
      <c r="AH85" s="230"/>
      <c r="AI85" s="230"/>
      <c r="AJ85" s="226">
        <f t="shared" si="9"/>
        <v>0</v>
      </c>
      <c r="AK85" s="226"/>
      <c r="AN85" s="225"/>
      <c r="AO85" s="225" t="s">
        <v>178</v>
      </c>
      <c r="AP85" s="213"/>
      <c r="AQ85" s="230">
        <v>1</v>
      </c>
      <c r="AR85" s="230"/>
      <c r="AS85" s="230"/>
      <c r="AT85" s="226">
        <f t="shared" si="10"/>
        <v>0</v>
      </c>
      <c r="AU85" s="226"/>
      <c r="AX85" s="225"/>
      <c r="AY85" s="225" t="s">
        <v>178</v>
      </c>
      <c r="AZ85" s="213"/>
      <c r="BA85" s="230">
        <v>1</v>
      </c>
      <c r="BB85" s="230"/>
      <c r="BC85" s="230"/>
      <c r="BD85" s="226">
        <f t="shared" si="11"/>
        <v>0</v>
      </c>
      <c r="BE85" s="226"/>
      <c r="BI85" s="225"/>
      <c r="BJ85" s="225" t="s">
        <v>178</v>
      </c>
      <c r="BK85" s="213"/>
      <c r="BL85" s="230">
        <v>1</v>
      </c>
      <c r="BM85" s="230"/>
      <c r="BN85" s="230"/>
      <c r="BO85" s="226">
        <f t="shared" si="12"/>
        <v>0</v>
      </c>
      <c r="BP85" s="226"/>
    </row>
    <row r="86" spans="6:68" ht="12.75" hidden="1">
      <c r="F86" s="384" t="e">
        <f>C86*#REF!</f>
        <v>#REF!</v>
      </c>
      <c r="H86" s="225"/>
      <c r="I86" s="225" t="s">
        <v>179</v>
      </c>
      <c r="J86" s="213"/>
      <c r="K86" s="230">
        <v>1</v>
      </c>
      <c r="L86" s="230"/>
      <c r="M86" s="226" t="e">
        <f>(L86*#REF!)/K86</f>
        <v>#REF!</v>
      </c>
      <c r="N86" s="226"/>
      <c r="T86" s="225"/>
      <c r="U86" s="225" t="s">
        <v>179</v>
      </c>
      <c r="V86" s="213"/>
      <c r="W86" s="230"/>
      <c r="X86" s="230"/>
      <c r="Y86" s="230"/>
      <c r="Z86" s="226" t="e">
        <f t="shared" si="8"/>
        <v>#DIV/0!</v>
      </c>
      <c r="AA86" s="226"/>
      <c r="AD86" s="225"/>
      <c r="AE86" s="225" t="s">
        <v>179</v>
      </c>
      <c r="AF86" s="213"/>
      <c r="AG86" s="230">
        <v>1</v>
      </c>
      <c r="AH86" s="230"/>
      <c r="AI86" s="230"/>
      <c r="AJ86" s="226">
        <f t="shared" si="9"/>
        <v>0</v>
      </c>
      <c r="AK86" s="226"/>
      <c r="AN86" s="225"/>
      <c r="AO86" s="225" t="s">
        <v>179</v>
      </c>
      <c r="AP86" s="213"/>
      <c r="AQ86" s="230">
        <v>1</v>
      </c>
      <c r="AR86" s="230"/>
      <c r="AS86" s="230"/>
      <c r="AT86" s="226">
        <f t="shared" si="10"/>
        <v>0</v>
      </c>
      <c r="AU86" s="226"/>
      <c r="AX86" s="225"/>
      <c r="AY86" s="225" t="s">
        <v>179</v>
      </c>
      <c r="AZ86" s="213"/>
      <c r="BA86" s="230">
        <v>1</v>
      </c>
      <c r="BB86" s="230"/>
      <c r="BC86" s="230"/>
      <c r="BD86" s="226">
        <f t="shared" si="11"/>
        <v>0</v>
      </c>
      <c r="BE86" s="226"/>
      <c r="BI86" s="225"/>
      <c r="BJ86" s="225" t="s">
        <v>179</v>
      </c>
      <c r="BK86" s="213"/>
      <c r="BL86" s="230">
        <v>1</v>
      </c>
      <c r="BM86" s="230"/>
      <c r="BN86" s="230"/>
      <c r="BO86" s="226">
        <f t="shared" si="12"/>
        <v>0</v>
      </c>
      <c r="BP86" s="226"/>
    </row>
    <row r="87" spans="6:68" ht="12.75" hidden="1">
      <c r="F87" s="384" t="e">
        <f>C87*#REF!</f>
        <v>#REF!</v>
      </c>
      <c r="H87" s="225"/>
      <c r="I87" s="225" t="s">
        <v>180</v>
      </c>
      <c r="J87" s="213"/>
      <c r="K87" s="230">
        <v>1</v>
      </c>
      <c r="L87" s="230"/>
      <c r="M87" s="226" t="e">
        <f>(L87*#REF!)/K87</f>
        <v>#REF!</v>
      </c>
      <c r="N87" s="226"/>
      <c r="T87" s="225"/>
      <c r="U87" s="225" t="s">
        <v>180</v>
      </c>
      <c r="V87" s="213"/>
      <c r="W87" s="230"/>
      <c r="X87" s="230"/>
      <c r="Y87" s="230"/>
      <c r="Z87" s="226" t="e">
        <f t="shared" si="8"/>
        <v>#DIV/0!</v>
      </c>
      <c r="AA87" s="226"/>
      <c r="AD87" s="225"/>
      <c r="AE87" s="225" t="s">
        <v>180</v>
      </c>
      <c r="AF87" s="213"/>
      <c r="AG87" s="230">
        <v>1</v>
      </c>
      <c r="AH87" s="230"/>
      <c r="AI87" s="230"/>
      <c r="AJ87" s="226">
        <f t="shared" si="9"/>
        <v>0</v>
      </c>
      <c r="AK87" s="226"/>
      <c r="AN87" s="225"/>
      <c r="AO87" s="225" t="s">
        <v>180</v>
      </c>
      <c r="AP87" s="213"/>
      <c r="AQ87" s="230">
        <v>1</v>
      </c>
      <c r="AR87" s="230"/>
      <c r="AS87" s="230"/>
      <c r="AT87" s="226">
        <f t="shared" si="10"/>
        <v>0</v>
      </c>
      <c r="AU87" s="226"/>
      <c r="AX87" s="225"/>
      <c r="AY87" s="225" t="s">
        <v>180</v>
      </c>
      <c r="AZ87" s="213"/>
      <c r="BA87" s="230">
        <v>1</v>
      </c>
      <c r="BB87" s="230"/>
      <c r="BC87" s="230"/>
      <c r="BD87" s="226">
        <f t="shared" si="11"/>
        <v>0</v>
      </c>
      <c r="BE87" s="226"/>
      <c r="BI87" s="225"/>
      <c r="BJ87" s="225" t="s">
        <v>180</v>
      </c>
      <c r="BK87" s="213"/>
      <c r="BL87" s="230">
        <v>500</v>
      </c>
      <c r="BM87" s="230">
        <v>300</v>
      </c>
      <c r="BN87" s="230">
        <v>6</v>
      </c>
      <c r="BO87" s="226">
        <f t="shared" si="12"/>
        <v>3.6</v>
      </c>
      <c r="BP87" s="226"/>
    </row>
    <row r="88" spans="6:68" ht="12.75" hidden="1">
      <c r="F88" s="384" t="e">
        <f>C88*#REF!</f>
        <v>#REF!</v>
      </c>
      <c r="H88" s="225"/>
      <c r="I88" s="225" t="s">
        <v>94</v>
      </c>
      <c r="J88" s="213"/>
      <c r="K88" s="230">
        <v>1</v>
      </c>
      <c r="L88" s="230"/>
      <c r="M88" s="226" t="e">
        <f>(L88*#REF!)/K88</f>
        <v>#REF!</v>
      </c>
      <c r="N88" s="226"/>
      <c r="T88" s="225"/>
      <c r="U88" s="225" t="s">
        <v>94</v>
      </c>
      <c r="V88" s="213"/>
      <c r="W88" s="230"/>
      <c r="X88" s="230"/>
      <c r="Y88" s="230"/>
      <c r="Z88" s="226" t="e">
        <f t="shared" si="8"/>
        <v>#DIV/0!</v>
      </c>
      <c r="AA88" s="226"/>
      <c r="AD88" s="225"/>
      <c r="AE88" s="225" t="s">
        <v>94</v>
      </c>
      <c r="AF88" s="213"/>
      <c r="AG88" s="230">
        <v>1</v>
      </c>
      <c r="AH88" s="230"/>
      <c r="AI88" s="230"/>
      <c r="AJ88" s="226">
        <f t="shared" si="9"/>
        <v>0</v>
      </c>
      <c r="AK88" s="226"/>
      <c r="AN88" s="225"/>
      <c r="AO88" s="225" t="s">
        <v>94</v>
      </c>
      <c r="AP88" s="213"/>
      <c r="AQ88" s="230">
        <v>1</v>
      </c>
      <c r="AR88" s="230"/>
      <c r="AS88" s="230"/>
      <c r="AT88" s="226">
        <f t="shared" si="10"/>
        <v>0</v>
      </c>
      <c r="AU88" s="226"/>
      <c r="AX88" s="225"/>
      <c r="AY88" s="225" t="s">
        <v>94</v>
      </c>
      <c r="AZ88" s="213"/>
      <c r="BA88" s="230">
        <v>1</v>
      </c>
      <c r="BB88" s="230"/>
      <c r="BC88" s="230"/>
      <c r="BD88" s="226">
        <f t="shared" si="11"/>
        <v>0</v>
      </c>
      <c r="BE88" s="226"/>
      <c r="BI88" s="225"/>
      <c r="BJ88" s="225" t="s">
        <v>94</v>
      </c>
      <c r="BK88" s="213"/>
      <c r="BL88" s="230">
        <v>1</v>
      </c>
      <c r="BM88" s="230"/>
      <c r="BN88" s="230"/>
      <c r="BO88" s="226">
        <f t="shared" si="12"/>
        <v>0</v>
      </c>
      <c r="BP88" s="226"/>
    </row>
    <row r="89" spans="6:68" ht="12.75" hidden="1">
      <c r="F89" s="384" t="e">
        <f>C89*#REF!</f>
        <v>#REF!</v>
      </c>
      <c r="H89" s="225"/>
      <c r="I89" s="242" t="s">
        <v>94</v>
      </c>
      <c r="J89" s="252"/>
      <c r="K89" s="243">
        <v>1</v>
      </c>
      <c r="L89" s="243"/>
      <c r="M89" s="253" t="e">
        <f>(L89*#REF!)/K89</f>
        <v>#REF!</v>
      </c>
      <c r="N89" s="226"/>
      <c r="T89" s="225"/>
      <c r="U89" s="242" t="s">
        <v>94</v>
      </c>
      <c r="V89" s="252"/>
      <c r="W89" s="243"/>
      <c r="X89" s="243"/>
      <c r="Y89" s="243"/>
      <c r="Z89" s="253" t="e">
        <f t="shared" si="8"/>
        <v>#DIV/0!</v>
      </c>
      <c r="AA89" s="226"/>
      <c r="AD89" s="225"/>
      <c r="AE89" s="242" t="s">
        <v>94</v>
      </c>
      <c r="AF89" s="252"/>
      <c r="AG89" s="243">
        <v>1</v>
      </c>
      <c r="AH89" s="243"/>
      <c r="AI89" s="243"/>
      <c r="AJ89" s="253">
        <f t="shared" si="9"/>
        <v>0</v>
      </c>
      <c r="AK89" s="226"/>
      <c r="AN89" s="225"/>
      <c r="AO89" s="242" t="s">
        <v>94</v>
      </c>
      <c r="AP89" s="252"/>
      <c r="AQ89" s="243">
        <v>1</v>
      </c>
      <c r="AR89" s="243"/>
      <c r="AS89" s="243"/>
      <c r="AT89" s="253">
        <f t="shared" si="10"/>
        <v>0</v>
      </c>
      <c r="AU89" s="226"/>
      <c r="AX89" s="225"/>
      <c r="AY89" s="242" t="s">
        <v>94</v>
      </c>
      <c r="AZ89" s="252"/>
      <c r="BA89" s="243">
        <v>1</v>
      </c>
      <c r="BB89" s="243"/>
      <c r="BC89" s="243"/>
      <c r="BD89" s="253">
        <f t="shared" si="11"/>
        <v>0</v>
      </c>
      <c r="BE89" s="226"/>
      <c r="BI89" s="225"/>
      <c r="BJ89" s="242" t="s">
        <v>94</v>
      </c>
      <c r="BK89" s="252"/>
      <c r="BL89" s="243">
        <v>1</v>
      </c>
      <c r="BM89" s="243"/>
      <c r="BN89" s="243"/>
      <c r="BO89" s="253">
        <f t="shared" si="12"/>
        <v>0</v>
      </c>
      <c r="BP89" s="226"/>
    </row>
    <row r="90" spans="6:68" ht="13.5" hidden="1" thickBot="1">
      <c r="F90" s="384" t="e">
        <f>C90*#REF!</f>
        <v>#REF!</v>
      </c>
      <c r="H90" s="225"/>
      <c r="I90" s="219" t="s">
        <v>25</v>
      </c>
      <c r="J90" s="220"/>
      <c r="K90" s="220"/>
      <c r="L90" s="220"/>
      <c r="M90" s="254" t="e">
        <f>SUM(M78:M89)</f>
        <v>#REF!</v>
      </c>
      <c r="N90" s="226"/>
      <c r="T90" s="225"/>
      <c r="U90" s="219" t="s">
        <v>25</v>
      </c>
      <c r="V90" s="220"/>
      <c r="W90" s="220"/>
      <c r="X90" s="220"/>
      <c r="Y90" s="220"/>
      <c r="Z90" s="255" t="e">
        <f>SUM(Z78:Z89)</f>
        <v>#DIV/0!</v>
      </c>
      <c r="AA90" s="226"/>
      <c r="AD90" s="225"/>
      <c r="AE90" s="219" t="s">
        <v>25</v>
      </c>
      <c r="AF90" s="220"/>
      <c r="AG90" s="220"/>
      <c r="AH90" s="220"/>
      <c r="AI90" s="220"/>
      <c r="AJ90" s="254">
        <f>SUM(AJ78:AJ89)</f>
        <v>0</v>
      </c>
      <c r="AK90" s="226"/>
      <c r="AN90" s="225"/>
      <c r="AO90" s="219" t="s">
        <v>25</v>
      </c>
      <c r="AP90" s="220"/>
      <c r="AQ90" s="220"/>
      <c r="AR90" s="220"/>
      <c r="AS90" s="220"/>
      <c r="AT90" s="254">
        <f>SUM(AT78:AT89)</f>
        <v>0</v>
      </c>
      <c r="AU90" s="226"/>
      <c r="AX90" s="225"/>
      <c r="AY90" s="219" t="s">
        <v>25</v>
      </c>
      <c r="AZ90" s="220"/>
      <c r="BA90" s="220"/>
      <c r="BB90" s="220"/>
      <c r="BC90" s="220"/>
      <c r="BD90" s="254">
        <f>SUM(BD78:BD89)</f>
        <v>0</v>
      </c>
      <c r="BE90" s="226"/>
      <c r="BI90" s="225"/>
      <c r="BJ90" s="219" t="s">
        <v>25</v>
      </c>
      <c r="BK90" s="220"/>
      <c r="BL90" s="220"/>
      <c r="BM90" s="220"/>
      <c r="BN90" s="220"/>
      <c r="BO90" s="254">
        <f>SUM(BO78:BO89)</f>
        <v>3.6</v>
      </c>
      <c r="BP90" s="226"/>
    </row>
    <row r="91" spans="6:68" ht="12.75" hidden="1">
      <c r="F91" s="384" t="e">
        <f>C91*#REF!</f>
        <v>#REF!</v>
      </c>
      <c r="H91" s="225"/>
      <c r="I91" s="213"/>
      <c r="J91" s="213"/>
      <c r="K91" s="213"/>
      <c r="L91" s="213"/>
      <c r="M91" s="213"/>
      <c r="N91" s="226"/>
      <c r="T91" s="225"/>
      <c r="U91" s="213"/>
      <c r="V91" s="213"/>
      <c r="W91" s="213"/>
      <c r="X91" s="213"/>
      <c r="Y91" s="213"/>
      <c r="Z91" s="213"/>
      <c r="AA91" s="226"/>
      <c r="AD91" s="225"/>
      <c r="AE91" s="213"/>
      <c r="AF91" s="213"/>
      <c r="AG91" s="213"/>
      <c r="AH91" s="213"/>
      <c r="AI91" s="213"/>
      <c r="AJ91" s="213"/>
      <c r="AK91" s="226"/>
      <c r="AN91" s="225"/>
      <c r="AO91" s="213"/>
      <c r="AP91" s="213"/>
      <c r="AQ91" s="213"/>
      <c r="AR91" s="213"/>
      <c r="AS91" s="213"/>
      <c r="AT91" s="213"/>
      <c r="AU91" s="226"/>
      <c r="AX91" s="225"/>
      <c r="AY91" s="213"/>
      <c r="AZ91" s="213"/>
      <c r="BA91" s="213"/>
      <c r="BB91" s="213"/>
      <c r="BC91" s="213"/>
      <c r="BD91" s="213"/>
      <c r="BE91" s="226"/>
      <c r="BI91" s="225"/>
      <c r="BJ91" s="213"/>
      <c r="BK91" s="213"/>
      <c r="BL91" s="213"/>
      <c r="BM91" s="213"/>
      <c r="BN91" s="213"/>
      <c r="BO91" s="213"/>
      <c r="BP91" s="226"/>
    </row>
    <row r="92" spans="6:68" ht="13.5" hidden="1" thickBot="1">
      <c r="F92" s="384" t="e">
        <f>C92*#REF!</f>
        <v>#REF!</v>
      </c>
      <c r="H92" s="219"/>
      <c r="I92" s="220"/>
      <c r="J92" s="220"/>
      <c r="K92" s="220"/>
      <c r="L92" s="220"/>
      <c r="M92" s="220"/>
      <c r="N92" s="221"/>
      <c r="T92" s="219"/>
      <c r="U92" s="220"/>
      <c r="V92" s="220"/>
      <c r="W92" s="220"/>
      <c r="X92" s="220"/>
      <c r="Y92" s="220"/>
      <c r="Z92" s="220"/>
      <c r="AA92" s="221"/>
      <c r="AD92" s="219"/>
      <c r="AE92" s="220"/>
      <c r="AF92" s="220"/>
      <c r="AG92" s="220"/>
      <c r="AH92" s="220"/>
      <c r="AI92" s="220"/>
      <c r="AJ92" s="220"/>
      <c r="AK92" s="221"/>
      <c r="AN92" s="219"/>
      <c r="AO92" s="220"/>
      <c r="AP92" s="220"/>
      <c r="AQ92" s="220"/>
      <c r="AR92" s="220"/>
      <c r="AS92" s="220"/>
      <c r="AT92" s="220"/>
      <c r="AU92" s="221"/>
      <c r="AX92" s="219"/>
      <c r="AY92" s="220"/>
      <c r="AZ92" s="220"/>
      <c r="BA92" s="220"/>
      <c r="BB92" s="220"/>
      <c r="BC92" s="220"/>
      <c r="BD92" s="220"/>
      <c r="BE92" s="221"/>
      <c r="BI92" s="219"/>
      <c r="BJ92" s="220"/>
      <c r="BK92" s="220"/>
      <c r="BL92" s="220"/>
      <c r="BM92" s="220"/>
      <c r="BN92" s="220"/>
      <c r="BO92" s="220"/>
      <c r="BP92" s="221"/>
    </row>
    <row r="93" spans="6:69" ht="13.5" hidden="1" thickTop="1">
      <c r="F93" s="384" t="e">
        <f>C93*#REF!</f>
        <v>#REF!</v>
      </c>
      <c r="M93" s="256" t="s">
        <v>114</v>
      </c>
      <c r="N93" s="257"/>
      <c r="O93" s="258"/>
      <c r="Z93" s="256" t="s">
        <v>114</v>
      </c>
      <c r="AA93" s="257"/>
      <c r="AB93" s="258"/>
      <c r="AJ93" s="256" t="s">
        <v>114</v>
      </c>
      <c r="AK93" s="257"/>
      <c r="AL93" s="258"/>
      <c r="AT93" s="256" t="s">
        <v>114</v>
      </c>
      <c r="AU93" s="257"/>
      <c r="AV93" s="258"/>
      <c r="BD93" s="256" t="s">
        <v>114</v>
      </c>
      <c r="BE93" s="257"/>
      <c r="BF93" s="258"/>
      <c r="BO93" s="256" t="s">
        <v>114</v>
      </c>
      <c r="BP93" s="257"/>
      <c r="BQ93" s="258"/>
    </row>
    <row r="94" spans="6:69" ht="12.75" hidden="1">
      <c r="F94" s="384" t="e">
        <f>C94*#REF!</f>
        <v>#REF!</v>
      </c>
      <c r="H94" s="218" t="s">
        <v>181</v>
      </c>
      <c r="M94" s="259" t="s">
        <v>119</v>
      </c>
      <c r="N94" s="260" t="s">
        <v>120</v>
      </c>
      <c r="O94" s="261" t="s">
        <v>121</v>
      </c>
      <c r="T94" s="218" t="s">
        <v>182</v>
      </c>
      <c r="Z94" s="259" t="s">
        <v>119</v>
      </c>
      <c r="AA94" s="260" t="s">
        <v>120</v>
      </c>
      <c r="AB94" s="261" t="s">
        <v>121</v>
      </c>
      <c r="AD94" s="218" t="s">
        <v>183</v>
      </c>
      <c r="AJ94" s="259" t="s">
        <v>119</v>
      </c>
      <c r="AK94" s="260" t="s">
        <v>120</v>
      </c>
      <c r="AL94" s="261" t="s">
        <v>121</v>
      </c>
      <c r="AN94" s="218" t="s">
        <v>184</v>
      </c>
      <c r="AT94" s="259" t="s">
        <v>119</v>
      </c>
      <c r="AU94" s="260" t="s">
        <v>120</v>
      </c>
      <c r="AV94" s="261" t="s">
        <v>121</v>
      </c>
      <c r="AX94" s="218" t="s">
        <v>185</v>
      </c>
      <c r="BD94" s="259" t="s">
        <v>119</v>
      </c>
      <c r="BE94" s="260" t="s">
        <v>120</v>
      </c>
      <c r="BF94" s="261" t="s">
        <v>121</v>
      </c>
      <c r="BI94" s="218" t="s">
        <v>186</v>
      </c>
      <c r="BO94" s="259" t="s">
        <v>119</v>
      </c>
      <c r="BP94" s="260" t="s">
        <v>120</v>
      </c>
      <c r="BQ94" s="261" t="s">
        <v>121</v>
      </c>
    </row>
    <row r="95" spans="6:69" ht="12.75" hidden="1">
      <c r="F95" s="384" t="e">
        <f>C95*#REF!</f>
        <v>#REF!</v>
      </c>
      <c r="H95" s="262" t="s">
        <v>115</v>
      </c>
      <c r="I95" s="233"/>
      <c r="J95" s="263" t="s">
        <v>116</v>
      </c>
      <c r="K95" s="263" t="s">
        <v>18</v>
      </c>
      <c r="L95" s="264" t="s">
        <v>117</v>
      </c>
      <c r="M95" s="259" t="s">
        <v>128</v>
      </c>
      <c r="N95" s="260" t="s">
        <v>102</v>
      </c>
      <c r="O95" s="261" t="s">
        <v>129</v>
      </c>
      <c r="T95" s="262" t="s">
        <v>115</v>
      </c>
      <c r="U95" s="233"/>
      <c r="V95" s="263" t="s">
        <v>116</v>
      </c>
      <c r="W95" s="263" t="s">
        <v>18</v>
      </c>
      <c r="X95" s="264" t="s">
        <v>117</v>
      </c>
      <c r="Y95" s="265" t="s">
        <v>118</v>
      </c>
      <c r="Z95" s="259" t="s">
        <v>128</v>
      </c>
      <c r="AA95" s="260" t="s">
        <v>102</v>
      </c>
      <c r="AB95" s="261" t="s">
        <v>129</v>
      </c>
      <c r="AD95" s="262" t="s">
        <v>115</v>
      </c>
      <c r="AE95" s="233"/>
      <c r="AF95" s="263" t="s">
        <v>116</v>
      </c>
      <c r="AG95" s="263" t="s">
        <v>18</v>
      </c>
      <c r="AH95" s="264" t="s">
        <v>117</v>
      </c>
      <c r="AI95" s="265" t="s">
        <v>118</v>
      </c>
      <c r="AJ95" s="259" t="s">
        <v>128</v>
      </c>
      <c r="AK95" s="260" t="s">
        <v>102</v>
      </c>
      <c r="AL95" s="261" t="s">
        <v>129</v>
      </c>
      <c r="AN95" s="262" t="s">
        <v>115</v>
      </c>
      <c r="AO95" s="233"/>
      <c r="AP95" s="263" t="s">
        <v>116</v>
      </c>
      <c r="AQ95" s="263" t="s">
        <v>18</v>
      </c>
      <c r="AR95" s="264" t="s">
        <v>117</v>
      </c>
      <c r="AS95" s="265" t="s">
        <v>118</v>
      </c>
      <c r="AT95" s="259" t="s">
        <v>128</v>
      </c>
      <c r="AU95" s="260" t="s">
        <v>102</v>
      </c>
      <c r="AV95" s="261" t="s">
        <v>129</v>
      </c>
      <c r="AX95" s="262" t="s">
        <v>115</v>
      </c>
      <c r="AY95" s="233"/>
      <c r="AZ95" s="263" t="s">
        <v>116</v>
      </c>
      <c r="BA95" s="263" t="s">
        <v>18</v>
      </c>
      <c r="BB95" s="264" t="s">
        <v>117</v>
      </c>
      <c r="BC95" s="265" t="s">
        <v>118</v>
      </c>
      <c r="BD95" s="259" t="s">
        <v>128</v>
      </c>
      <c r="BE95" s="260" t="s">
        <v>102</v>
      </c>
      <c r="BF95" s="261" t="s">
        <v>129</v>
      </c>
      <c r="BI95" s="262" t="s">
        <v>115</v>
      </c>
      <c r="BJ95" s="233"/>
      <c r="BK95" s="263" t="s">
        <v>116</v>
      </c>
      <c r="BL95" s="263" t="s">
        <v>18</v>
      </c>
      <c r="BM95" s="264" t="s">
        <v>117</v>
      </c>
      <c r="BN95" s="265" t="s">
        <v>118</v>
      </c>
      <c r="BO95" s="259" t="s">
        <v>128</v>
      </c>
      <c r="BP95" s="260" t="s">
        <v>102</v>
      </c>
      <c r="BQ95" s="261" t="s">
        <v>129</v>
      </c>
    </row>
    <row r="96" spans="6:69" ht="12.75" hidden="1">
      <c r="F96" s="384" t="e">
        <f>C96*#REF!</f>
        <v>#REF!</v>
      </c>
      <c r="H96" s="266" t="s">
        <v>122</v>
      </c>
      <c r="I96" s="267" t="s">
        <v>123</v>
      </c>
      <c r="J96" s="267" t="s">
        <v>124</v>
      </c>
      <c r="K96" s="267" t="s">
        <v>125</v>
      </c>
      <c r="L96" s="267" t="s">
        <v>126</v>
      </c>
      <c r="M96" s="251" t="s">
        <v>130</v>
      </c>
      <c r="N96" s="269"/>
      <c r="O96" s="270" t="s">
        <v>131</v>
      </c>
      <c r="T96" s="266" t="s">
        <v>122</v>
      </c>
      <c r="U96" s="267" t="s">
        <v>123</v>
      </c>
      <c r="V96" s="267" t="s">
        <v>124</v>
      </c>
      <c r="W96" s="267" t="s">
        <v>125</v>
      </c>
      <c r="X96" s="267" t="s">
        <v>126</v>
      </c>
      <c r="Y96" s="268" t="s">
        <v>127</v>
      </c>
      <c r="Z96" s="251" t="s">
        <v>130</v>
      </c>
      <c r="AA96" s="269"/>
      <c r="AB96" s="270" t="s">
        <v>131</v>
      </c>
      <c r="AD96" s="266" t="s">
        <v>122</v>
      </c>
      <c r="AE96" s="267" t="s">
        <v>123</v>
      </c>
      <c r="AF96" s="267" t="s">
        <v>124</v>
      </c>
      <c r="AG96" s="267" t="s">
        <v>125</v>
      </c>
      <c r="AH96" s="267" t="s">
        <v>126</v>
      </c>
      <c r="AI96" s="268" t="s">
        <v>127</v>
      </c>
      <c r="AJ96" s="251" t="s">
        <v>130</v>
      </c>
      <c r="AK96" s="269"/>
      <c r="AL96" s="270" t="s">
        <v>131</v>
      </c>
      <c r="AN96" s="266" t="s">
        <v>122</v>
      </c>
      <c r="AO96" s="267" t="s">
        <v>123</v>
      </c>
      <c r="AP96" s="267" t="s">
        <v>124</v>
      </c>
      <c r="AQ96" s="267" t="s">
        <v>125</v>
      </c>
      <c r="AR96" s="267" t="s">
        <v>126</v>
      </c>
      <c r="AS96" s="268" t="s">
        <v>127</v>
      </c>
      <c r="AT96" s="251" t="s">
        <v>130</v>
      </c>
      <c r="AU96" s="269"/>
      <c r="AV96" s="270" t="s">
        <v>131</v>
      </c>
      <c r="AX96" s="266" t="s">
        <v>122</v>
      </c>
      <c r="AY96" s="267" t="s">
        <v>123</v>
      </c>
      <c r="AZ96" s="267" t="s">
        <v>124</v>
      </c>
      <c r="BA96" s="267" t="s">
        <v>125</v>
      </c>
      <c r="BB96" s="267" t="s">
        <v>126</v>
      </c>
      <c r="BC96" s="268" t="s">
        <v>127</v>
      </c>
      <c r="BD96" s="251" t="s">
        <v>130</v>
      </c>
      <c r="BE96" s="269"/>
      <c r="BF96" s="270" t="s">
        <v>131</v>
      </c>
      <c r="BI96" s="266" t="s">
        <v>122</v>
      </c>
      <c r="BJ96" s="267" t="s">
        <v>123</v>
      </c>
      <c r="BK96" s="267" t="s">
        <v>124</v>
      </c>
      <c r="BL96" s="267" t="s">
        <v>125</v>
      </c>
      <c r="BM96" s="267" t="s">
        <v>126</v>
      </c>
      <c r="BN96" s="268" t="s">
        <v>127</v>
      </c>
      <c r="BO96" s="251" t="s">
        <v>130</v>
      </c>
      <c r="BP96" s="269"/>
      <c r="BQ96" s="270" t="s">
        <v>131</v>
      </c>
    </row>
    <row r="97" spans="6:69" ht="13.5" hidden="1" thickBot="1">
      <c r="F97" s="384" t="e">
        <f>C97*#REF!</f>
        <v>#REF!</v>
      </c>
      <c r="H97" s="271"/>
      <c r="I97" s="272" t="s">
        <v>6</v>
      </c>
      <c r="J97" s="272">
        <v>6</v>
      </c>
      <c r="K97" s="272">
        <v>25</v>
      </c>
      <c r="L97" s="272">
        <f>(K97/100)*H97*(J97/12)</f>
        <v>0</v>
      </c>
      <c r="M97" s="219">
        <v>0</v>
      </c>
      <c r="N97" s="231">
        <v>0</v>
      </c>
      <c r="O97" s="254">
        <f>N97-M97</f>
        <v>0</v>
      </c>
      <c r="T97" s="271"/>
      <c r="U97" s="272" t="s">
        <v>6</v>
      </c>
      <c r="V97" s="272"/>
      <c r="W97" s="272"/>
      <c r="X97" s="272">
        <f>(W97/100)*T97*(V97/12)</f>
        <v>0</v>
      </c>
      <c r="Y97" s="273">
        <f>T97-X97</f>
        <v>0</v>
      </c>
      <c r="Z97" s="219">
        <v>0</v>
      </c>
      <c r="AA97" s="231">
        <v>0</v>
      </c>
      <c r="AB97" s="254">
        <f>AA97-Z97</f>
        <v>0</v>
      </c>
      <c r="AD97" s="271"/>
      <c r="AE97" s="272" t="s">
        <v>6</v>
      </c>
      <c r="AF97" s="272">
        <v>6</v>
      </c>
      <c r="AG97" s="272">
        <v>25</v>
      </c>
      <c r="AH97" s="272">
        <f>(AG97/100)*AD97*(AF97/12)</f>
        <v>0</v>
      </c>
      <c r="AI97" s="273">
        <f>AD97-AH97</f>
        <v>0</v>
      </c>
      <c r="AJ97" s="219">
        <v>0</v>
      </c>
      <c r="AK97" s="231">
        <v>0</v>
      </c>
      <c r="AL97" s="254">
        <f>AK97-AJ97</f>
        <v>0</v>
      </c>
      <c r="AN97" s="271"/>
      <c r="AO97" s="272" t="s">
        <v>6</v>
      </c>
      <c r="AP97" s="272">
        <v>6</v>
      </c>
      <c r="AQ97" s="272">
        <v>25</v>
      </c>
      <c r="AR97" s="272">
        <f>(AQ97/100)*AN97*(AP97/12)</f>
        <v>0</v>
      </c>
      <c r="AS97" s="273">
        <f>AN97-AR97</f>
        <v>0</v>
      </c>
      <c r="AT97" s="219">
        <v>0</v>
      </c>
      <c r="AU97" s="231">
        <v>0</v>
      </c>
      <c r="AV97" s="254">
        <f>AU97-AT97</f>
        <v>0</v>
      </c>
      <c r="AX97" s="271"/>
      <c r="AY97" s="272" t="s">
        <v>6</v>
      </c>
      <c r="AZ97" s="272">
        <v>6</v>
      </c>
      <c r="BA97" s="272">
        <v>25</v>
      </c>
      <c r="BB97" s="272">
        <f>(BA97/100)*AX97*(AZ97/12)</f>
        <v>0</v>
      </c>
      <c r="BC97" s="273">
        <f>AX97-BB97</f>
        <v>0</v>
      </c>
      <c r="BD97" s="219">
        <v>0</v>
      </c>
      <c r="BE97" s="231">
        <v>0</v>
      </c>
      <c r="BF97" s="254">
        <f>BE97-BD97</f>
        <v>0</v>
      </c>
      <c r="BI97" s="271">
        <v>0</v>
      </c>
      <c r="BJ97" s="272" t="s">
        <v>6</v>
      </c>
      <c r="BK97" s="272">
        <v>6</v>
      </c>
      <c r="BL97" s="272">
        <v>25</v>
      </c>
      <c r="BM97" s="272">
        <f>(BL97/100)*BI97*(BK97/12)</f>
        <v>0</v>
      </c>
      <c r="BN97" s="273">
        <f>BI97-BM97</f>
        <v>0</v>
      </c>
      <c r="BO97" s="219">
        <v>0</v>
      </c>
      <c r="BP97" s="231">
        <v>0</v>
      </c>
      <c r="BQ97" s="254">
        <f>BP97-BO97</f>
        <v>0</v>
      </c>
    </row>
    <row r="98" spans="6:66" ht="13.5" hidden="1" thickBot="1">
      <c r="F98" s="384" t="e">
        <f>C98*#REF!</f>
        <v>#REF!</v>
      </c>
      <c r="H98" s="274"/>
      <c r="I98" s="275" t="s">
        <v>6</v>
      </c>
      <c r="J98" s="275">
        <v>12</v>
      </c>
      <c r="K98" s="275">
        <v>25</v>
      </c>
      <c r="L98" s="275">
        <f>(K98/100)*H98*(J98/12)</f>
        <v>0</v>
      </c>
      <c r="T98" s="274"/>
      <c r="U98" s="275" t="s">
        <v>6</v>
      </c>
      <c r="V98" s="275"/>
      <c r="W98" s="275"/>
      <c r="X98" s="275">
        <f>(W98/100)*T98*(V98/12)</f>
        <v>0</v>
      </c>
      <c r="Y98" s="276">
        <f>T98-X98</f>
        <v>0</v>
      </c>
      <c r="AD98" s="274"/>
      <c r="AE98" s="275" t="s">
        <v>6</v>
      </c>
      <c r="AF98" s="275">
        <v>12</v>
      </c>
      <c r="AG98" s="275">
        <v>25</v>
      </c>
      <c r="AH98" s="275">
        <f>(AG98/100)*AD98*(AF98/12)</f>
        <v>0</v>
      </c>
      <c r="AI98" s="276">
        <f>AD98-AH98</f>
        <v>0</v>
      </c>
      <c r="AN98" s="274"/>
      <c r="AO98" s="275" t="s">
        <v>6</v>
      </c>
      <c r="AP98" s="275">
        <v>12</v>
      </c>
      <c r="AQ98" s="275">
        <v>25</v>
      </c>
      <c r="AR98" s="275">
        <f>(AQ98/100)*AN98*(AP98/12)</f>
        <v>0</v>
      </c>
      <c r="AS98" s="276">
        <f>AN98-AR98</f>
        <v>0</v>
      </c>
      <c r="AX98" s="274"/>
      <c r="AY98" s="275" t="s">
        <v>6</v>
      </c>
      <c r="AZ98" s="275">
        <v>12</v>
      </c>
      <c r="BA98" s="275">
        <v>25</v>
      </c>
      <c r="BB98" s="275">
        <f>(BA98/100)*AX98*(AZ98/12)</f>
        <v>0</v>
      </c>
      <c r="BC98" s="276">
        <f>AX98-BB98</f>
        <v>0</v>
      </c>
      <c r="BI98" s="274"/>
      <c r="BJ98" s="275" t="s">
        <v>6</v>
      </c>
      <c r="BK98" s="275">
        <v>12</v>
      </c>
      <c r="BL98" s="275">
        <v>25</v>
      </c>
      <c r="BM98" s="275">
        <f>(BL98/100)*BI98*(BK98/12)</f>
        <v>0</v>
      </c>
      <c r="BN98" s="276">
        <f>BI98-BM98</f>
        <v>0</v>
      </c>
    </row>
    <row r="99" spans="6:65" ht="12.75" hidden="1">
      <c r="F99" s="384" t="e">
        <f>C99*#REF!</f>
        <v>#REF!</v>
      </c>
      <c r="L99" s="277">
        <f>SUM(L97:L98)</f>
        <v>0</v>
      </c>
      <c r="X99" s="277">
        <f>SUM(X97:X98)</f>
        <v>0</v>
      </c>
      <c r="AH99" s="277">
        <f>SUM(AH97:AH98)</f>
        <v>0</v>
      </c>
      <c r="AR99" s="277">
        <f>SUM(AR97:AR98)</f>
        <v>0</v>
      </c>
      <c r="BB99" s="277">
        <f>SUM(BB97:BB98)</f>
        <v>0</v>
      </c>
      <c r="BM99" s="277">
        <f>SUM(BM97:BM98)</f>
        <v>0</v>
      </c>
    </row>
    <row r="100" spans="6:70" ht="13.5" hidden="1" thickTop="1">
      <c r="F100" s="384" t="e">
        <f>C100*#REF!</f>
        <v>#REF!</v>
      </c>
      <c r="L100" s="278" t="s">
        <v>123</v>
      </c>
      <c r="M100" s="280" t="s">
        <v>132</v>
      </c>
      <c r="N100" s="228" t="s">
        <v>133</v>
      </c>
      <c r="O100" s="216"/>
      <c r="P100" s="217"/>
      <c r="X100" s="278" t="s">
        <v>123</v>
      </c>
      <c r="Y100" s="279" t="s">
        <v>19</v>
      </c>
      <c r="Z100" s="280" t="s">
        <v>132</v>
      </c>
      <c r="AA100" s="228" t="s">
        <v>133</v>
      </c>
      <c r="AB100" s="216"/>
      <c r="AC100" s="217"/>
      <c r="AH100" s="278" t="s">
        <v>123</v>
      </c>
      <c r="AI100" s="279" t="s">
        <v>19</v>
      </c>
      <c r="AJ100" s="280" t="s">
        <v>132</v>
      </c>
      <c r="AK100" s="228" t="s">
        <v>133</v>
      </c>
      <c r="AL100" s="216"/>
      <c r="AM100" s="217"/>
      <c r="AR100" s="278" t="s">
        <v>123</v>
      </c>
      <c r="AS100" s="279" t="s">
        <v>19</v>
      </c>
      <c r="AT100" s="280" t="s">
        <v>132</v>
      </c>
      <c r="AU100" s="228" t="s">
        <v>133</v>
      </c>
      <c r="AV100" s="216"/>
      <c r="AW100" s="217"/>
      <c r="BB100" s="278" t="s">
        <v>123</v>
      </c>
      <c r="BC100" s="279" t="s">
        <v>19</v>
      </c>
      <c r="BD100" s="280" t="s">
        <v>132</v>
      </c>
      <c r="BE100" s="228" t="s">
        <v>133</v>
      </c>
      <c r="BF100" s="216"/>
      <c r="BG100" s="217"/>
      <c r="BM100" s="278" t="s">
        <v>123</v>
      </c>
      <c r="BN100" s="279" t="s">
        <v>19</v>
      </c>
      <c r="BO100" s="280" t="s">
        <v>132</v>
      </c>
      <c r="BP100" s="228" t="s">
        <v>133</v>
      </c>
      <c r="BQ100" s="216"/>
      <c r="BR100" s="217"/>
    </row>
    <row r="101" spans="6:70" ht="13.5" hidden="1" thickTop="1">
      <c r="F101" s="384" t="e">
        <f>C101*#REF!</f>
        <v>#REF!</v>
      </c>
      <c r="H101" s="281" t="s">
        <v>134</v>
      </c>
      <c r="I101" s="257"/>
      <c r="J101" s="282" t="s">
        <v>135</v>
      </c>
      <c r="K101" s="283" t="s">
        <v>136</v>
      </c>
      <c r="L101" s="225">
        <v>1</v>
      </c>
      <c r="M101" s="232" t="e">
        <f>R109</f>
        <v>#REF!</v>
      </c>
      <c r="N101" s="225" t="s">
        <v>137</v>
      </c>
      <c r="O101" s="213"/>
      <c r="P101" s="285">
        <v>3</v>
      </c>
      <c r="T101" s="281" t="s">
        <v>134</v>
      </c>
      <c r="U101" s="257"/>
      <c r="V101" s="282" t="s">
        <v>135</v>
      </c>
      <c r="W101" s="283" t="s">
        <v>136</v>
      </c>
      <c r="X101" s="225">
        <v>1</v>
      </c>
      <c r="Y101" s="284" t="e">
        <f>AC110</f>
        <v>#DIV/0!</v>
      </c>
      <c r="Z101" s="232" t="e">
        <f>AE110</f>
        <v>#DIV/0!</v>
      </c>
      <c r="AA101" s="225" t="s">
        <v>137</v>
      </c>
      <c r="AB101" s="213"/>
      <c r="AC101" s="285">
        <v>1</v>
      </c>
      <c r="AD101" s="281" t="s">
        <v>134</v>
      </c>
      <c r="AE101" s="257"/>
      <c r="AF101" s="282" t="s">
        <v>135</v>
      </c>
      <c r="AG101" s="283" t="s">
        <v>136</v>
      </c>
      <c r="AH101" s="225">
        <v>1</v>
      </c>
      <c r="AI101" s="284">
        <f>AL178</f>
        <v>0</v>
      </c>
      <c r="AJ101" s="232">
        <f>AN178</f>
        <v>0</v>
      </c>
      <c r="AK101" s="225" t="s">
        <v>137</v>
      </c>
      <c r="AL101" s="213"/>
      <c r="AM101" s="285">
        <v>1</v>
      </c>
      <c r="AN101" s="281" t="s">
        <v>134</v>
      </c>
      <c r="AO101" s="257"/>
      <c r="AP101" s="282" t="s">
        <v>135</v>
      </c>
      <c r="AQ101" s="283" t="s">
        <v>136</v>
      </c>
      <c r="AR101" s="225">
        <v>1</v>
      </c>
      <c r="AS101" s="284">
        <f>AW110</f>
        <v>0</v>
      </c>
      <c r="AT101" s="232">
        <f>AY110</f>
        <v>0</v>
      </c>
      <c r="AU101" s="225" t="s">
        <v>137</v>
      </c>
      <c r="AV101" s="213"/>
      <c r="AW101" s="285">
        <v>1</v>
      </c>
      <c r="AX101" s="281" t="s">
        <v>134</v>
      </c>
      <c r="AY101" s="257"/>
      <c r="AZ101" s="282" t="s">
        <v>135</v>
      </c>
      <c r="BA101" s="283" t="s">
        <v>136</v>
      </c>
      <c r="BB101" s="225">
        <v>1</v>
      </c>
      <c r="BC101" s="284">
        <f>BG183</f>
        <v>0</v>
      </c>
      <c r="BD101" s="232">
        <f>BI183</f>
        <v>0</v>
      </c>
      <c r="BE101" s="225" t="s">
        <v>137</v>
      </c>
      <c r="BF101" s="213"/>
      <c r="BG101" s="285">
        <v>1</v>
      </c>
      <c r="BI101" s="281" t="s">
        <v>134</v>
      </c>
      <c r="BJ101" s="257"/>
      <c r="BK101" s="282" t="s">
        <v>135</v>
      </c>
      <c r="BL101" s="283" t="s">
        <v>136</v>
      </c>
      <c r="BM101" s="225">
        <v>1</v>
      </c>
      <c r="BN101" s="284">
        <f>BR109</f>
        <v>0</v>
      </c>
      <c r="BO101" s="232">
        <f>BT109</f>
        <v>0</v>
      </c>
      <c r="BP101" s="225" t="s">
        <v>137</v>
      </c>
      <c r="BQ101" s="213"/>
      <c r="BR101" s="285">
        <v>2</v>
      </c>
    </row>
    <row r="102" spans="6:70" ht="12.75" hidden="1">
      <c r="F102" s="384" t="e">
        <f>C102*#REF!</f>
        <v>#REF!</v>
      </c>
      <c r="H102" s="286">
        <v>0</v>
      </c>
      <c r="I102" s="235"/>
      <c r="J102" s="287">
        <v>24</v>
      </c>
      <c r="K102" s="288">
        <v>12</v>
      </c>
      <c r="L102" s="225">
        <v>2</v>
      </c>
      <c r="M102" s="232" t="e">
        <f>R112</f>
        <v>#REF!</v>
      </c>
      <c r="N102" s="225" t="s">
        <v>6</v>
      </c>
      <c r="O102" s="213"/>
      <c r="P102" s="226"/>
      <c r="T102" s="286">
        <v>0</v>
      </c>
      <c r="U102" s="235"/>
      <c r="V102" s="287"/>
      <c r="W102" s="288"/>
      <c r="X102" s="225">
        <v>2</v>
      </c>
      <c r="Y102" s="284" t="e">
        <f>AC113</f>
        <v>#DIV/0!</v>
      </c>
      <c r="Z102" s="232" t="e">
        <f>AE113</f>
        <v>#DIV/0!</v>
      </c>
      <c r="AA102" s="225" t="s">
        <v>6</v>
      </c>
      <c r="AB102" s="213"/>
      <c r="AC102" s="226"/>
      <c r="AD102" s="286">
        <v>0</v>
      </c>
      <c r="AE102" s="235"/>
      <c r="AF102" s="287">
        <v>24</v>
      </c>
      <c r="AG102" s="288">
        <v>12</v>
      </c>
      <c r="AH102" s="225">
        <v>2</v>
      </c>
      <c r="AI102" s="284">
        <f>AL181</f>
        <v>0</v>
      </c>
      <c r="AJ102" s="232">
        <f>AN181</f>
        <v>0</v>
      </c>
      <c r="AK102" s="225" t="s">
        <v>6</v>
      </c>
      <c r="AL102" s="213"/>
      <c r="AM102" s="226"/>
      <c r="AN102" s="286">
        <v>0</v>
      </c>
      <c r="AO102" s="235"/>
      <c r="AP102" s="287">
        <v>24</v>
      </c>
      <c r="AQ102" s="288">
        <v>12</v>
      </c>
      <c r="AR102" s="225">
        <v>2</v>
      </c>
      <c r="AS102" s="284">
        <f>AW113</f>
        <v>0</v>
      </c>
      <c r="AT102" s="232">
        <f>AY113</f>
        <v>0</v>
      </c>
      <c r="AU102" s="225" t="s">
        <v>6</v>
      </c>
      <c r="AV102" s="213"/>
      <c r="AW102" s="226"/>
      <c r="AX102" s="286">
        <v>0</v>
      </c>
      <c r="AY102" s="235"/>
      <c r="AZ102" s="287">
        <v>24</v>
      </c>
      <c r="BA102" s="288">
        <v>12</v>
      </c>
      <c r="BB102" s="225">
        <v>2</v>
      </c>
      <c r="BC102" s="284">
        <f>BG186</f>
        <v>0</v>
      </c>
      <c r="BD102" s="232">
        <f>BI186</f>
        <v>0</v>
      </c>
      <c r="BE102" s="225" t="s">
        <v>6</v>
      </c>
      <c r="BF102" s="213"/>
      <c r="BG102" s="226"/>
      <c r="BI102" s="286">
        <v>0</v>
      </c>
      <c r="BJ102" s="235"/>
      <c r="BK102" s="287">
        <v>24</v>
      </c>
      <c r="BL102" s="288">
        <v>12</v>
      </c>
      <c r="BM102" s="225">
        <v>2</v>
      </c>
      <c r="BN102" s="284">
        <f>BR112</f>
        <v>0</v>
      </c>
      <c r="BO102" s="232">
        <f>BT112</f>
        <v>0</v>
      </c>
      <c r="BP102" s="225" t="s">
        <v>6</v>
      </c>
      <c r="BQ102" s="213"/>
      <c r="BR102" s="226"/>
    </row>
    <row r="103" spans="6:70" ht="13.5" hidden="1" thickBot="1">
      <c r="F103" s="384" t="e">
        <f>C103*#REF!</f>
        <v>#REF!</v>
      </c>
      <c r="H103" s="289" t="s">
        <v>138</v>
      </c>
      <c r="I103" s="220"/>
      <c r="J103" s="220"/>
      <c r="K103" s="254">
        <v>6</v>
      </c>
      <c r="L103" s="225">
        <v>3</v>
      </c>
      <c r="M103" s="232" t="e">
        <f>R114</f>
        <v>#REF!</v>
      </c>
      <c r="N103" s="225" t="s">
        <v>139</v>
      </c>
      <c r="O103" s="287" t="e">
        <f>LOOKUP(P101,L101:L105,M101:M105)</f>
        <v>#REF!</v>
      </c>
      <c r="P103" s="226"/>
      <c r="T103" s="289" t="s">
        <v>138</v>
      </c>
      <c r="U103" s="220"/>
      <c r="V103" s="220"/>
      <c r="W103" s="254"/>
      <c r="X103" s="225">
        <v>3</v>
      </c>
      <c r="Y103" s="284" t="e">
        <f>AC115</f>
        <v>#DIV/0!</v>
      </c>
      <c r="Z103" s="232" t="e">
        <f>AE115</f>
        <v>#DIV/0!</v>
      </c>
      <c r="AA103" s="225" t="s">
        <v>139</v>
      </c>
      <c r="AB103" s="287" t="e">
        <f>LOOKUP(AC101,X101:X105,Z101:Z105)</f>
        <v>#DIV/0!</v>
      </c>
      <c r="AC103" s="226"/>
      <c r="AD103" s="289" t="s">
        <v>138</v>
      </c>
      <c r="AE103" s="220"/>
      <c r="AF103" s="220"/>
      <c r="AG103" s="254">
        <v>6</v>
      </c>
      <c r="AH103" s="225">
        <v>3</v>
      </c>
      <c r="AI103" s="284">
        <f>AL183</f>
        <v>0</v>
      </c>
      <c r="AJ103" s="232">
        <f>AN183</f>
        <v>0</v>
      </c>
      <c r="AK103" s="225" t="s">
        <v>139</v>
      </c>
      <c r="AL103" s="287">
        <f>LOOKUP(AM101,AH101:AH105,AJ101:AJ105)</f>
        <v>0</v>
      </c>
      <c r="AM103" s="226"/>
      <c r="AN103" s="289" t="s">
        <v>138</v>
      </c>
      <c r="AO103" s="220"/>
      <c r="AP103" s="220"/>
      <c r="AQ103" s="254">
        <v>6</v>
      </c>
      <c r="AR103" s="225">
        <v>3</v>
      </c>
      <c r="AS103" s="284">
        <f>AW115</f>
        <v>0</v>
      </c>
      <c r="AT103" s="232">
        <f>AY115</f>
        <v>0</v>
      </c>
      <c r="AU103" s="225" t="s">
        <v>139</v>
      </c>
      <c r="AV103" s="287">
        <f>LOOKUP(AW101,AR101:AR105,AT101:AT105)</f>
        <v>0</v>
      </c>
      <c r="AW103" s="226"/>
      <c r="AX103" s="289" t="s">
        <v>138</v>
      </c>
      <c r="AY103" s="220"/>
      <c r="AZ103" s="220"/>
      <c r="BA103" s="254">
        <v>6</v>
      </c>
      <c r="BB103" s="225">
        <v>3</v>
      </c>
      <c r="BC103" s="284">
        <f>BG188</f>
        <v>0</v>
      </c>
      <c r="BD103" s="232">
        <f>BI188</f>
        <v>0</v>
      </c>
      <c r="BE103" s="225" t="s">
        <v>139</v>
      </c>
      <c r="BF103" s="287">
        <f>LOOKUP(BG101,BB101:BB105,BD101:BD105)</f>
        <v>0</v>
      </c>
      <c r="BG103" s="226"/>
      <c r="BI103" s="289" t="s">
        <v>138</v>
      </c>
      <c r="BJ103" s="220"/>
      <c r="BK103" s="220"/>
      <c r="BL103" s="254">
        <v>6</v>
      </c>
      <c r="BM103" s="225">
        <v>3</v>
      </c>
      <c r="BN103" s="284">
        <f>BR114</f>
        <v>0</v>
      </c>
      <c r="BO103" s="232">
        <f>BT114</f>
        <v>0</v>
      </c>
      <c r="BP103" s="225" t="s">
        <v>139</v>
      </c>
      <c r="BQ103" s="287">
        <f>LOOKUP(BR101,BM101:BM105,BO101:BO105)</f>
        <v>0</v>
      </c>
      <c r="BR103" s="226"/>
    </row>
    <row r="104" spans="6:70" ht="12.75" hidden="1">
      <c r="F104" s="384" t="e">
        <f>C104*#REF!</f>
        <v>#REF!</v>
      </c>
      <c r="K104" s="213"/>
      <c r="L104" s="225">
        <v>4</v>
      </c>
      <c r="M104" s="232" t="e">
        <f>R116</f>
        <v>#REF!</v>
      </c>
      <c r="N104" s="225" t="s">
        <v>19</v>
      </c>
      <c r="O104" s="287" t="e">
        <f>LOOKUP(P101,L101:L105,#REF!)</f>
        <v>#REF!</v>
      </c>
      <c r="P104" s="226"/>
      <c r="W104" s="213"/>
      <c r="X104" s="225">
        <v>4</v>
      </c>
      <c r="Y104" s="284" t="e">
        <f>AC117</f>
        <v>#DIV/0!</v>
      </c>
      <c r="Z104" s="232" t="e">
        <f>AE117</f>
        <v>#DIV/0!</v>
      </c>
      <c r="AA104" s="225" t="s">
        <v>19</v>
      </c>
      <c r="AB104" s="287" t="e">
        <f>LOOKUP(AC101,X101:X105,Y101:Y105)</f>
        <v>#DIV/0!</v>
      </c>
      <c r="AC104" s="226"/>
      <c r="AG104" s="213"/>
      <c r="AH104" s="225">
        <v>4</v>
      </c>
      <c r="AI104" s="284">
        <f>AL185</f>
        <v>0</v>
      </c>
      <c r="AJ104" s="232">
        <f>AN185</f>
        <v>0</v>
      </c>
      <c r="AK104" s="225" t="s">
        <v>19</v>
      </c>
      <c r="AL104" s="287">
        <f>LOOKUP(AM101,AH101:AH105,AI101:AI105)</f>
        <v>0</v>
      </c>
      <c r="AM104" s="226"/>
      <c r="AQ104" s="213"/>
      <c r="AR104" s="225">
        <v>4</v>
      </c>
      <c r="AS104" s="284">
        <f>AW117</f>
        <v>0</v>
      </c>
      <c r="AT104" s="232">
        <f>AY117</f>
        <v>0</v>
      </c>
      <c r="AU104" s="225" t="s">
        <v>19</v>
      </c>
      <c r="AV104" s="287">
        <f>LOOKUP(AW101,AR101:AR105,AS101:AS105)</f>
        <v>0</v>
      </c>
      <c r="AW104" s="226"/>
      <c r="BA104" s="213"/>
      <c r="BB104" s="225">
        <v>4</v>
      </c>
      <c r="BC104" s="284">
        <f>BG190</f>
        <v>0</v>
      </c>
      <c r="BD104" s="232">
        <f>BI190</f>
        <v>0</v>
      </c>
      <c r="BE104" s="225" t="s">
        <v>19</v>
      </c>
      <c r="BF104" s="287">
        <f>LOOKUP(BG101,BB101:BB105,BC101:BC105)</f>
        <v>0</v>
      </c>
      <c r="BG104" s="226"/>
      <c r="BL104" s="213"/>
      <c r="BM104" s="225">
        <v>4</v>
      </c>
      <c r="BN104" s="284">
        <f>BR116</f>
        <v>0</v>
      </c>
      <c r="BO104" s="232">
        <f>BT116</f>
        <v>0</v>
      </c>
      <c r="BP104" s="225" t="s">
        <v>19</v>
      </c>
      <c r="BQ104" s="287">
        <f>LOOKUP(BR101,BM101:BM105,BN101:BN105)</f>
        <v>0</v>
      </c>
      <c r="BR104" s="226"/>
    </row>
    <row r="105" spans="6:70" ht="13.5" hidden="1" thickBot="1">
      <c r="F105" s="384" t="e">
        <f>C105*#REF!</f>
        <v>#REF!</v>
      </c>
      <c r="L105" s="219">
        <v>5</v>
      </c>
      <c r="M105" s="237" t="e">
        <f>R118</f>
        <v>#REF!</v>
      </c>
      <c r="N105" s="220" t="s">
        <v>140</v>
      </c>
      <c r="O105" s="291" t="e">
        <f>SUM(O103:O104)</f>
        <v>#REF!</v>
      </c>
      <c r="P105" s="221"/>
      <c r="X105" s="219">
        <v>5</v>
      </c>
      <c r="Y105" s="290" t="e">
        <f>AC119</f>
        <v>#DIV/0!</v>
      </c>
      <c r="Z105" s="237" t="e">
        <f>AE119</f>
        <v>#DIV/0!</v>
      </c>
      <c r="AA105" s="220" t="s">
        <v>140</v>
      </c>
      <c r="AB105" s="291" t="e">
        <f>SUM(AB103:AB104)</f>
        <v>#DIV/0!</v>
      </c>
      <c r="AC105" s="221"/>
      <c r="AH105" s="219">
        <v>5</v>
      </c>
      <c r="AI105" s="290">
        <f>AL187</f>
        <v>0</v>
      </c>
      <c r="AJ105" s="237">
        <f>AN187</f>
        <v>0</v>
      </c>
      <c r="AK105" s="220" t="s">
        <v>140</v>
      </c>
      <c r="AL105" s="291">
        <f>SUM(AL103:AL104)</f>
        <v>0</v>
      </c>
      <c r="AM105" s="221"/>
      <c r="AR105" s="219">
        <v>5</v>
      </c>
      <c r="AS105" s="290">
        <f>AW119</f>
        <v>0</v>
      </c>
      <c r="AT105" s="237">
        <f>AY119</f>
        <v>0</v>
      </c>
      <c r="AU105" s="220" t="s">
        <v>140</v>
      </c>
      <c r="AV105" s="291">
        <f>SUM(AV103:AV104)</f>
        <v>0</v>
      </c>
      <c r="AW105" s="221"/>
      <c r="BB105" s="219">
        <v>5</v>
      </c>
      <c r="BC105" s="290">
        <f>BG192</f>
        <v>0</v>
      </c>
      <c r="BD105" s="237">
        <f>BI192</f>
        <v>0</v>
      </c>
      <c r="BE105" s="220" t="s">
        <v>140</v>
      </c>
      <c r="BF105" s="291">
        <f>SUM(BF103:BF104)</f>
        <v>0</v>
      </c>
      <c r="BG105" s="221"/>
      <c r="BM105" s="219">
        <v>5</v>
      </c>
      <c r="BN105" s="290">
        <f>BR118</f>
        <v>0</v>
      </c>
      <c r="BO105" s="237">
        <f>BT118</f>
        <v>0</v>
      </c>
      <c r="BP105" s="220" t="s">
        <v>140</v>
      </c>
      <c r="BQ105" s="291">
        <f>SUM(BQ103:BQ104)</f>
        <v>0</v>
      </c>
      <c r="BR105" s="221"/>
    </row>
    <row r="106" spans="6:100" ht="13.5" hidden="1" thickTop="1">
      <c r="F106" s="384" t="e">
        <f>C106*#REF!</f>
        <v>#REF!</v>
      </c>
      <c r="G106" s="228"/>
      <c r="H106" s="292" t="s">
        <v>200</v>
      </c>
      <c r="I106" s="216"/>
      <c r="J106" s="216"/>
      <c r="K106" s="216"/>
      <c r="L106" s="216"/>
      <c r="M106" s="216"/>
      <c r="N106" s="216"/>
      <c r="O106" s="216"/>
      <c r="P106" s="216"/>
      <c r="Q106" s="216"/>
      <c r="R106" s="217"/>
      <c r="BH106" s="228"/>
      <c r="BI106" s="292" t="s">
        <v>200</v>
      </c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7"/>
      <c r="BV106" s="228"/>
      <c r="BW106" s="292" t="s">
        <v>200</v>
      </c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7"/>
      <c r="CJ106" s="228"/>
      <c r="CK106" s="292" t="s">
        <v>200</v>
      </c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7"/>
    </row>
    <row r="107" spans="6:100" ht="13.5" hidden="1" thickTop="1">
      <c r="F107" s="384" t="e">
        <f>C107*#REF!</f>
        <v>#REF!</v>
      </c>
      <c r="G107" s="225"/>
      <c r="H107" s="215"/>
      <c r="I107" s="213"/>
      <c r="J107" s="213"/>
      <c r="K107" s="213"/>
      <c r="L107" s="213"/>
      <c r="M107" s="213"/>
      <c r="N107" s="213"/>
      <c r="O107" s="294" t="s">
        <v>203</v>
      </c>
      <c r="P107" s="295" t="s">
        <v>25</v>
      </c>
      <c r="Q107" s="213"/>
      <c r="R107" s="296" t="s">
        <v>25</v>
      </c>
      <c r="S107" s="228"/>
      <c r="T107" s="292" t="s">
        <v>200</v>
      </c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7"/>
      <c r="AM107" s="228"/>
      <c r="AN107" s="292" t="s">
        <v>200</v>
      </c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7"/>
      <c r="BH107" s="225"/>
      <c r="BI107" s="215"/>
      <c r="BJ107" s="213"/>
      <c r="BK107" s="213"/>
      <c r="BL107" s="213"/>
      <c r="BM107" s="213"/>
      <c r="BN107" s="293" t="s">
        <v>202</v>
      </c>
      <c r="BO107" s="213"/>
      <c r="BP107" s="213"/>
      <c r="BQ107" s="294" t="s">
        <v>203</v>
      </c>
      <c r="BR107" s="295" t="s">
        <v>25</v>
      </c>
      <c r="BS107" s="213"/>
      <c r="BT107" s="296" t="s">
        <v>25</v>
      </c>
      <c r="BV107" s="225"/>
      <c r="BW107" s="215"/>
      <c r="BX107" s="213"/>
      <c r="BY107" s="213"/>
      <c r="BZ107" s="213"/>
      <c r="CA107" s="213"/>
      <c r="CB107" s="293" t="s">
        <v>202</v>
      </c>
      <c r="CC107" s="213"/>
      <c r="CD107" s="213"/>
      <c r="CE107" s="294" t="s">
        <v>203</v>
      </c>
      <c r="CF107" s="295" t="s">
        <v>25</v>
      </c>
      <c r="CG107" s="213"/>
      <c r="CH107" s="296" t="s">
        <v>25</v>
      </c>
      <c r="CJ107" s="225"/>
      <c r="CK107" s="215"/>
      <c r="CL107" s="213"/>
      <c r="CM107" s="213"/>
      <c r="CN107" s="213"/>
      <c r="CO107" s="213"/>
      <c r="CP107" s="293" t="s">
        <v>202</v>
      </c>
      <c r="CQ107" s="213"/>
      <c r="CR107" s="213"/>
      <c r="CS107" s="294" t="s">
        <v>203</v>
      </c>
      <c r="CT107" s="295" t="s">
        <v>25</v>
      </c>
      <c r="CU107" s="213"/>
      <c r="CV107" s="296" t="s">
        <v>25</v>
      </c>
    </row>
    <row r="108" spans="6:100" ht="12.75" hidden="1">
      <c r="F108" s="384" t="e">
        <f>C108*#REF!</f>
        <v>#REF!</v>
      </c>
      <c r="G108" s="297" t="s">
        <v>205</v>
      </c>
      <c r="H108" s="298" t="s">
        <v>206</v>
      </c>
      <c r="I108" s="299" t="s">
        <v>207</v>
      </c>
      <c r="J108" s="235"/>
      <c r="K108" s="299" t="s">
        <v>208</v>
      </c>
      <c r="L108" s="299"/>
      <c r="M108" s="235"/>
      <c r="N108" s="299" t="s">
        <v>210</v>
      </c>
      <c r="O108" s="300" t="s">
        <v>19</v>
      </c>
      <c r="P108" s="300" t="s">
        <v>211</v>
      </c>
      <c r="Q108" s="300" t="s">
        <v>212</v>
      </c>
      <c r="R108" s="301" t="s">
        <v>211</v>
      </c>
      <c r="S108" s="225"/>
      <c r="T108" s="215"/>
      <c r="U108" s="213"/>
      <c r="V108" s="213"/>
      <c r="W108" s="213"/>
      <c r="X108" s="213"/>
      <c r="Y108" s="293" t="s">
        <v>202</v>
      </c>
      <c r="Z108" s="213"/>
      <c r="AA108" s="213"/>
      <c r="AB108" s="294" t="s">
        <v>203</v>
      </c>
      <c r="AC108" s="295" t="s">
        <v>25</v>
      </c>
      <c r="AD108" s="213"/>
      <c r="AE108" s="296" t="s">
        <v>25</v>
      </c>
      <c r="AM108" s="225"/>
      <c r="AN108" s="215"/>
      <c r="AO108" s="213"/>
      <c r="AP108" s="213"/>
      <c r="AQ108" s="213"/>
      <c r="AR108" s="213"/>
      <c r="AS108" s="293" t="s">
        <v>202</v>
      </c>
      <c r="AT108" s="213"/>
      <c r="AU108" s="213"/>
      <c r="AV108" s="294" t="s">
        <v>203</v>
      </c>
      <c r="AW108" s="295" t="s">
        <v>25</v>
      </c>
      <c r="AX108" s="213"/>
      <c r="AY108" s="296" t="s">
        <v>25</v>
      </c>
      <c r="BH108" s="297" t="s">
        <v>205</v>
      </c>
      <c r="BI108" s="298" t="s">
        <v>206</v>
      </c>
      <c r="BJ108" s="299" t="s">
        <v>207</v>
      </c>
      <c r="BK108" s="235"/>
      <c r="BL108" s="299" t="s">
        <v>208</v>
      </c>
      <c r="BM108" s="299"/>
      <c r="BN108" s="299" t="s">
        <v>209</v>
      </c>
      <c r="BO108" s="235"/>
      <c r="BP108" s="299" t="s">
        <v>210</v>
      </c>
      <c r="BQ108" s="300" t="s">
        <v>19</v>
      </c>
      <c r="BR108" s="300" t="s">
        <v>211</v>
      </c>
      <c r="BS108" s="300" t="s">
        <v>212</v>
      </c>
      <c r="BT108" s="301" t="s">
        <v>211</v>
      </c>
      <c r="BV108" s="297" t="s">
        <v>205</v>
      </c>
      <c r="BW108" s="298" t="s">
        <v>206</v>
      </c>
      <c r="BX108" s="299" t="s">
        <v>207</v>
      </c>
      <c r="BY108" s="235"/>
      <c r="BZ108" s="299" t="s">
        <v>208</v>
      </c>
      <c r="CA108" s="299"/>
      <c r="CB108" s="299" t="s">
        <v>209</v>
      </c>
      <c r="CC108" s="235"/>
      <c r="CD108" s="299" t="s">
        <v>210</v>
      </c>
      <c r="CE108" s="300" t="s">
        <v>19</v>
      </c>
      <c r="CF108" s="300" t="s">
        <v>211</v>
      </c>
      <c r="CG108" s="300" t="s">
        <v>212</v>
      </c>
      <c r="CH108" s="301" t="s">
        <v>211</v>
      </c>
      <c r="CJ108" s="297" t="s">
        <v>205</v>
      </c>
      <c r="CK108" s="298" t="s">
        <v>206</v>
      </c>
      <c r="CL108" s="299" t="s">
        <v>207</v>
      </c>
      <c r="CM108" s="235"/>
      <c r="CN108" s="299" t="s">
        <v>208</v>
      </c>
      <c r="CO108" s="299"/>
      <c r="CP108" s="299" t="s">
        <v>209</v>
      </c>
      <c r="CQ108" s="235"/>
      <c r="CR108" s="299" t="s">
        <v>210</v>
      </c>
      <c r="CS108" s="300" t="s">
        <v>19</v>
      </c>
      <c r="CT108" s="300" t="s">
        <v>211</v>
      </c>
      <c r="CU108" s="300" t="s">
        <v>212</v>
      </c>
      <c r="CV108" s="301" t="s">
        <v>211</v>
      </c>
    </row>
    <row r="109" spans="6:100" ht="13.5" hidden="1" thickBot="1">
      <c r="F109" s="384" t="e">
        <f>C109*#REF!</f>
        <v>#REF!</v>
      </c>
      <c r="G109" s="302">
        <f>H102*(((K102/12)/100)*(1+((K102/12)/100))^J102)/(((1+((K102/12)/100))^J102)-1)</f>
        <v>0</v>
      </c>
      <c r="H109" s="303">
        <f>G109*12</f>
        <v>0</v>
      </c>
      <c r="I109" s="235">
        <f>IF((K109+1)-K109&lt;(K109+1),(K109+1)-K109," ")</f>
        <v>1</v>
      </c>
      <c r="J109" s="235"/>
      <c r="K109" s="287">
        <f>J102</f>
        <v>24</v>
      </c>
      <c r="L109" s="235" t="s">
        <v>6</v>
      </c>
      <c r="M109" s="235"/>
      <c r="N109" s="304">
        <f>(J102*G109)-H102</f>
        <v>0</v>
      </c>
      <c r="O109" s="305" t="e">
        <f>#REF!*N109</f>
        <v>#REF!</v>
      </c>
      <c r="P109" s="306" t="e">
        <f ca="1">SUM(O109:OFFSET(O109,(K103-1),0))</f>
        <v>#REF!</v>
      </c>
      <c r="Q109" s="305" t="e">
        <f>IF(O109&gt;0,G109-O109,0)</f>
        <v>#REF!</v>
      </c>
      <c r="R109" s="307" t="e">
        <f ca="1">SUM(Q109:OFFSET(Q109,(K103-1),0))</f>
        <v>#REF!</v>
      </c>
      <c r="S109" s="297" t="s">
        <v>205</v>
      </c>
      <c r="T109" s="298" t="s">
        <v>206</v>
      </c>
      <c r="U109" s="299" t="s">
        <v>207</v>
      </c>
      <c r="V109" s="235"/>
      <c r="W109" s="299" t="s">
        <v>208</v>
      </c>
      <c r="X109" s="299"/>
      <c r="Y109" s="299" t="s">
        <v>209</v>
      </c>
      <c r="Z109" s="235"/>
      <c r="AA109" s="299" t="s">
        <v>210</v>
      </c>
      <c r="AB109" s="300" t="s">
        <v>19</v>
      </c>
      <c r="AC109" s="300" t="s">
        <v>211</v>
      </c>
      <c r="AD109" s="300" t="s">
        <v>212</v>
      </c>
      <c r="AE109" s="301" t="s">
        <v>211</v>
      </c>
      <c r="AM109" s="297" t="s">
        <v>205</v>
      </c>
      <c r="AN109" s="298" t="s">
        <v>206</v>
      </c>
      <c r="AO109" s="299" t="s">
        <v>207</v>
      </c>
      <c r="AP109" s="235"/>
      <c r="AQ109" s="299" t="s">
        <v>208</v>
      </c>
      <c r="AR109" s="299"/>
      <c r="AS109" s="299" t="s">
        <v>209</v>
      </c>
      <c r="AT109" s="235"/>
      <c r="AU109" s="299" t="s">
        <v>210</v>
      </c>
      <c r="AV109" s="300" t="s">
        <v>19</v>
      </c>
      <c r="AW109" s="300" t="s">
        <v>211</v>
      </c>
      <c r="AX109" s="300" t="s">
        <v>212</v>
      </c>
      <c r="AY109" s="301" t="s">
        <v>211</v>
      </c>
      <c r="BH109" s="302">
        <f>BI102*(((BL102/12)/100)*(1+((BL102/12)/100))^BK102)/(((1+((BL102/12)/100))^BK102)-1)</f>
        <v>0</v>
      </c>
      <c r="BI109" s="303">
        <f>BH109*12</f>
        <v>0</v>
      </c>
      <c r="BJ109" s="235">
        <f>IF((BL109+1)-BL109&lt;(BL109+1),(BL109+1)-BL109," ")</f>
        <v>1</v>
      </c>
      <c r="BK109" s="235"/>
      <c r="BL109" s="287">
        <f>BK102</f>
        <v>24</v>
      </c>
      <c r="BM109" s="235" t="s">
        <v>6</v>
      </c>
      <c r="BN109" s="235">
        <f>BL109/((BL109+1)*(BL109/2))</f>
        <v>0.08</v>
      </c>
      <c r="BO109" s="235"/>
      <c r="BP109" s="304">
        <f>(BK102*BH109)-BI102</f>
        <v>0</v>
      </c>
      <c r="BQ109" s="305">
        <f>BN109*BP109</f>
        <v>0</v>
      </c>
      <c r="BR109" s="306">
        <f ca="1">SUM(BQ109:OFFSET(BQ109,(BL103-1),0))</f>
        <v>0</v>
      </c>
      <c r="BS109" s="305">
        <f>IF(BQ109&gt;0,BH109-BQ109,0)</f>
        <v>0</v>
      </c>
      <c r="BT109" s="307">
        <f ca="1">SUM(BS109:OFFSET(BS109,(BL102-1),0))</f>
        <v>0</v>
      </c>
      <c r="BV109" s="302" t="e">
        <f>#REF!*(((#REF!/12)/100)*(1+((#REF!/12)/100))^#REF!)/(((1+((#REF!/12)/100))^#REF!)-1)</f>
        <v>#REF!</v>
      </c>
      <c r="BW109" s="303" t="e">
        <f>BV109*12</f>
        <v>#REF!</v>
      </c>
      <c r="BX109" s="235" t="e">
        <f>IF((BZ109+1)-BZ109&lt;(BZ109+1),(BZ109+1)-BZ109," ")</f>
        <v>#REF!</v>
      </c>
      <c r="BY109" s="235"/>
      <c r="BZ109" s="287" t="e">
        <f>#REF!</f>
        <v>#REF!</v>
      </c>
      <c r="CA109" s="235" t="s">
        <v>6</v>
      </c>
      <c r="CB109" s="235" t="e">
        <f>BZ109/((BZ109+1)*(BZ109/2))</f>
        <v>#REF!</v>
      </c>
      <c r="CC109" s="235"/>
      <c r="CD109" s="304" t="e">
        <f>(#REF!*BV109)-#REF!</f>
        <v>#REF!</v>
      </c>
      <c r="CE109" s="305" t="e">
        <f>CB109*CD109</f>
        <v>#REF!</v>
      </c>
      <c r="CF109" s="306" t="e">
        <f ca="1">SUM(CE109:OFFSET(CE109,(#REF!-1),0))</f>
        <v>#REF!</v>
      </c>
      <c r="CG109" s="305" t="e">
        <f>IF(CE109&gt;0,BV109-CE109,0)</f>
        <v>#REF!</v>
      </c>
      <c r="CH109" s="307" t="e">
        <f ca="1">SUM(CG109:OFFSET(CG109,(#REF!-1),0))</f>
        <v>#REF!</v>
      </c>
      <c r="CJ109" s="302" t="e">
        <f>#REF!*(((#REF!/12)/100)*(1+((#REF!/12)/100))^#REF!)/(((1+((#REF!/12)/100))^#REF!)-1)</f>
        <v>#REF!</v>
      </c>
      <c r="CK109" s="303" t="e">
        <f>CJ109*12</f>
        <v>#REF!</v>
      </c>
      <c r="CL109" s="235" t="e">
        <f>IF((CN109+1)-CN109&lt;(CN109+1),(CN109+1)-CN109," ")</f>
        <v>#REF!</v>
      </c>
      <c r="CM109" s="235"/>
      <c r="CN109" s="287" t="e">
        <f>#REF!</f>
        <v>#REF!</v>
      </c>
      <c r="CO109" s="235" t="s">
        <v>6</v>
      </c>
      <c r="CP109" s="235" t="e">
        <f>CN109/((CN109+1)*(CN109/2))</f>
        <v>#REF!</v>
      </c>
      <c r="CQ109" s="235"/>
      <c r="CR109" s="304" t="e">
        <f>(#REF!*CJ109)-#REF!</f>
        <v>#REF!</v>
      </c>
      <c r="CS109" s="305" t="e">
        <f>CP109*CR109</f>
        <v>#REF!</v>
      </c>
      <c r="CT109" s="306" t="e">
        <f ca="1">SUM(CS109:OFFSET(CS109,(#REF!-1),0))</f>
        <v>#REF!</v>
      </c>
      <c r="CU109" s="305" t="e">
        <f>IF(CS109&gt;0,CJ109-CS109,0)</f>
        <v>#REF!</v>
      </c>
      <c r="CV109" s="307" t="e">
        <f ca="1">SUM(CU109:OFFSET(CU109,(#REF!-1),0))</f>
        <v>#REF!</v>
      </c>
    </row>
    <row r="110" spans="6:100" ht="13.5" hidden="1" thickBot="1">
      <c r="F110" s="384" t="e">
        <f>C110*#REF!</f>
        <v>#REF!</v>
      </c>
      <c r="I110" s="234">
        <f>IF((K109+1)-K110&lt;(K109+1),(K109+1)-K110," ")</f>
        <v>2</v>
      </c>
      <c r="J110" s="235"/>
      <c r="K110" s="235">
        <f aca="true" t="shared" si="13" ref="K110:K141">IF(K109-1&gt;0,K109-1,0)</f>
        <v>23</v>
      </c>
      <c r="L110" s="235"/>
      <c r="M110" s="235"/>
      <c r="N110" s="235"/>
      <c r="O110" s="305" t="e">
        <f>#REF!*N109</f>
        <v>#REF!</v>
      </c>
      <c r="P110" s="305"/>
      <c r="Q110" s="305" t="e">
        <f>IF(O110&gt;0,G109-O110,0)</f>
        <v>#REF!</v>
      </c>
      <c r="R110" s="308"/>
      <c r="S110" s="302" t="e">
        <f>T102*(((W102/12)/100)*(1+((W102/12)/100))^V102)/(((1+((W102/12)/100))^V102)-1)</f>
        <v>#DIV/0!</v>
      </c>
      <c r="T110" s="303" t="e">
        <f>S110*12</f>
        <v>#DIV/0!</v>
      </c>
      <c r="U110" s="235" t="str">
        <f>IF((W110+1)-W110&lt;(W110+1),(W110+1)-W110," ")</f>
        <v> </v>
      </c>
      <c r="V110" s="235"/>
      <c r="W110" s="287">
        <f>V102</f>
        <v>0</v>
      </c>
      <c r="X110" s="235" t="s">
        <v>6</v>
      </c>
      <c r="Y110" s="235" t="e">
        <f>W110/((W110+1)*(W110/2))</f>
        <v>#DIV/0!</v>
      </c>
      <c r="Z110" s="235"/>
      <c r="AA110" s="304" t="e">
        <f>(V102*S110)-T102</f>
        <v>#DIV/0!</v>
      </c>
      <c r="AB110" s="305" t="e">
        <f>Y110*AA110</f>
        <v>#DIV/0!</v>
      </c>
      <c r="AC110" s="306" t="e">
        <f ca="1">SUM(AB110:OFFSET(AB110,(W103-1),0))</f>
        <v>#DIV/0!</v>
      </c>
      <c r="AD110" s="305" t="e">
        <f>IF(AB110&gt;0,S110-AB110,0)</f>
        <v>#DIV/0!</v>
      </c>
      <c r="AE110" s="307" t="e">
        <f ca="1">SUM(AD110:OFFSET(AD110,(W103-1),0))</f>
        <v>#DIV/0!</v>
      </c>
      <c r="AM110" s="302">
        <f>AN102*(((AQ102/12)/100)*(1+((AQ102/12)/100))^AP102)/(((1+((AQ102/12)/100))^AP102)-1)</f>
        <v>0</v>
      </c>
      <c r="AN110" s="303">
        <f>AM110*12</f>
        <v>0</v>
      </c>
      <c r="AO110" s="235">
        <f>IF((AQ110+1)-AQ110&lt;(AQ110+1),(AQ110+1)-AQ110," ")</f>
        <v>1</v>
      </c>
      <c r="AP110" s="235"/>
      <c r="AQ110" s="287">
        <f>AP102</f>
        <v>24</v>
      </c>
      <c r="AR110" s="235" t="s">
        <v>6</v>
      </c>
      <c r="AS110" s="235">
        <f>AQ110/((AQ110+1)*(AQ110/2))</f>
        <v>0.08</v>
      </c>
      <c r="AT110" s="235"/>
      <c r="AU110" s="304">
        <f>(AP102*AM110)-AN102</f>
        <v>0</v>
      </c>
      <c r="AV110" s="305">
        <f>AS110*AU110</f>
        <v>0</v>
      </c>
      <c r="AW110" s="306">
        <f ca="1">SUM(AV110:OFFSET(AV110,(AQ103-1),0))</f>
        <v>0</v>
      </c>
      <c r="AX110" s="305">
        <f>IF(AV110&gt;0,AM110-AV110,0)</f>
        <v>0</v>
      </c>
      <c r="AY110" s="307">
        <f ca="1">SUM(AX110:OFFSET(AX110,(AQ103-1),0))</f>
        <v>0</v>
      </c>
      <c r="BJ110" s="234">
        <f>IF((BL109+1)-BL110&lt;(BL109+1),(BL109+1)-BL110," ")</f>
        <v>2</v>
      </c>
      <c r="BK110" s="235"/>
      <c r="BL110" s="235">
        <f aca="true" t="shared" si="14" ref="BL110:BL141">IF(BL109-1&gt;0,BL109-1,0)</f>
        <v>23</v>
      </c>
      <c r="BM110" s="235"/>
      <c r="BN110" s="235">
        <f>BL110/((BL109+1)*(BL109/2))</f>
        <v>0.07666666666666666</v>
      </c>
      <c r="BO110" s="235"/>
      <c r="BP110" s="235"/>
      <c r="BQ110" s="305">
        <f>BN110*BP109</f>
        <v>0</v>
      </c>
      <c r="BR110" s="305"/>
      <c r="BS110" s="305">
        <f>IF(BQ110&gt;0,BH109-BQ110,0)</f>
        <v>0</v>
      </c>
      <c r="BT110" s="308"/>
      <c r="BX110" s="234" t="e">
        <f>IF((BZ109+1)-BZ110&lt;(BZ109+1),(BZ109+1)-BZ110," ")</f>
        <v>#REF!</v>
      </c>
      <c r="BY110" s="235"/>
      <c r="BZ110" s="235" t="e">
        <f aca="true" t="shared" si="15" ref="BZ110:BZ141">IF(BZ109-1&gt;0,BZ109-1,0)</f>
        <v>#REF!</v>
      </c>
      <c r="CA110" s="235"/>
      <c r="CB110" s="235" t="e">
        <f>BZ110/((BZ109+1)*(BZ109/2))</f>
        <v>#REF!</v>
      </c>
      <c r="CC110" s="235"/>
      <c r="CD110" s="235"/>
      <c r="CE110" s="305" t="e">
        <f>CB110*CD109</f>
        <v>#REF!</v>
      </c>
      <c r="CF110" s="305"/>
      <c r="CG110" s="305" t="e">
        <f>IF(CE110&gt;0,BV109-CE110,0)</f>
        <v>#REF!</v>
      </c>
      <c r="CH110" s="308"/>
      <c r="CL110" s="234" t="e">
        <f>IF((CN109+1)-CN110&lt;(CN109+1),(CN109+1)-CN110," ")</f>
        <v>#REF!</v>
      </c>
      <c r="CM110" s="235"/>
      <c r="CN110" s="235" t="e">
        <f aca="true" t="shared" si="16" ref="CN110:CN141">IF(CN109-1&gt;0,CN109-1,0)</f>
        <v>#REF!</v>
      </c>
      <c r="CO110" s="235"/>
      <c r="CP110" s="235" t="e">
        <f>CN110/((CN109+1)*(CN109/2))</f>
        <v>#REF!</v>
      </c>
      <c r="CQ110" s="235"/>
      <c r="CR110" s="235"/>
      <c r="CS110" s="305" t="e">
        <f>CP110*CR109</f>
        <v>#REF!</v>
      </c>
      <c r="CT110" s="305"/>
      <c r="CU110" s="305" t="e">
        <f>IF(CS110&gt;0,CJ109-CS110,0)</f>
        <v>#REF!</v>
      </c>
      <c r="CV110" s="308"/>
    </row>
    <row r="111" spans="6:100" ht="12.75" hidden="1">
      <c r="F111" s="384" t="e">
        <f>C111*#REF!</f>
        <v>#REF!</v>
      </c>
      <c r="I111" s="234">
        <f>IF((K109+1)-K111&lt;(K109+1),(K109+1)-K111," ")</f>
        <v>3</v>
      </c>
      <c r="J111" s="235"/>
      <c r="K111" s="235">
        <f t="shared" si="13"/>
        <v>22</v>
      </c>
      <c r="L111" s="235"/>
      <c r="M111" s="235"/>
      <c r="N111" s="235"/>
      <c r="O111" s="305" t="e">
        <f>#REF!*N109</f>
        <v>#REF!</v>
      </c>
      <c r="P111" s="309" t="s">
        <v>214</v>
      </c>
      <c r="Q111" s="305" t="e">
        <f>IF(O111&gt;0,G109-O111,0)</f>
        <v>#REF!</v>
      </c>
      <c r="R111" s="310" t="s">
        <v>214</v>
      </c>
      <c r="U111" s="234" t="str">
        <f>IF((W110+1)-W111&lt;(W110+1),(W110+1)-W111," ")</f>
        <v> </v>
      </c>
      <c r="V111" s="235"/>
      <c r="W111" s="235">
        <f aca="true" t="shared" si="17" ref="W111:W142">IF(W110-1&gt;0,W110-1,0)</f>
        <v>0</v>
      </c>
      <c r="X111" s="235"/>
      <c r="Y111" s="235" t="e">
        <f>W111/((W110+1)*(W110/2))</f>
        <v>#DIV/0!</v>
      </c>
      <c r="Z111" s="235"/>
      <c r="AA111" s="235"/>
      <c r="AB111" s="305" t="e">
        <f>Y111*AA110</f>
        <v>#DIV/0!</v>
      </c>
      <c r="AC111" s="305"/>
      <c r="AD111" s="305" t="e">
        <f>IF(AB111&gt;0,S110-AB111,0)</f>
        <v>#DIV/0!</v>
      </c>
      <c r="AE111" s="308"/>
      <c r="AO111" s="234">
        <f>IF((AQ110+1)-AQ111&lt;(AQ110+1),(AQ110+1)-AQ111," ")</f>
        <v>2</v>
      </c>
      <c r="AP111" s="235"/>
      <c r="AQ111" s="235">
        <f aca="true" t="shared" si="18" ref="AQ111:AQ142">IF(AQ110-1&gt;0,AQ110-1,0)</f>
        <v>23</v>
      </c>
      <c r="AR111" s="235"/>
      <c r="AS111" s="235">
        <f>AQ111/((AQ110+1)*(AQ110/2))</f>
        <v>0.07666666666666666</v>
      </c>
      <c r="AT111" s="235"/>
      <c r="AU111" s="235"/>
      <c r="AV111" s="305">
        <f>AS111*AU110</f>
        <v>0</v>
      </c>
      <c r="AW111" s="305"/>
      <c r="AX111" s="305">
        <f>IF(AV111&gt;0,AM110-AV111,0)</f>
        <v>0</v>
      </c>
      <c r="AY111" s="308"/>
      <c r="BJ111" s="234">
        <f>IF((BL109+1)-BL111&lt;(BL109+1),(BL109+1)-BL111," ")</f>
        <v>3</v>
      </c>
      <c r="BK111" s="235"/>
      <c r="BL111" s="235">
        <f t="shared" si="14"/>
        <v>22</v>
      </c>
      <c r="BM111" s="235"/>
      <c r="BN111" s="235">
        <f>BL111/((BL109+1)*(BL109/2))</f>
        <v>0.07333333333333333</v>
      </c>
      <c r="BO111" s="235"/>
      <c r="BP111" s="235"/>
      <c r="BQ111" s="305">
        <f>BN111*BP109</f>
        <v>0</v>
      </c>
      <c r="BR111" s="309" t="s">
        <v>214</v>
      </c>
      <c r="BS111" s="305">
        <f>IF(BQ111&gt;0,BH109-BQ111,0)</f>
        <v>0</v>
      </c>
      <c r="BT111" s="310" t="s">
        <v>214</v>
      </c>
      <c r="BX111" s="234" t="e">
        <f>IF((BZ109+1)-BZ111&lt;(BZ109+1),(BZ109+1)-BZ111," ")</f>
        <v>#REF!</v>
      </c>
      <c r="BY111" s="235"/>
      <c r="BZ111" s="235" t="e">
        <f t="shared" si="15"/>
        <v>#REF!</v>
      </c>
      <c r="CA111" s="235"/>
      <c r="CB111" s="235" t="e">
        <f>BZ111/((BZ109+1)*(BZ109/2))</f>
        <v>#REF!</v>
      </c>
      <c r="CC111" s="235"/>
      <c r="CD111" s="235"/>
      <c r="CE111" s="305" t="e">
        <f>CB111*CD109</f>
        <v>#REF!</v>
      </c>
      <c r="CF111" s="309" t="s">
        <v>214</v>
      </c>
      <c r="CG111" s="305" t="e">
        <f>IF(CE111&gt;0,BV109-CE111,0)</f>
        <v>#REF!</v>
      </c>
      <c r="CH111" s="310" t="s">
        <v>214</v>
      </c>
      <c r="CL111" s="234" t="e">
        <f>IF((CN109+1)-CN111&lt;(CN109+1),(CN109+1)-CN111," ")</f>
        <v>#REF!</v>
      </c>
      <c r="CM111" s="235"/>
      <c r="CN111" s="235" t="e">
        <f t="shared" si="16"/>
        <v>#REF!</v>
      </c>
      <c r="CO111" s="235"/>
      <c r="CP111" s="235" t="e">
        <f>CN111/((CN109+1)*(CN109/2))</f>
        <v>#REF!</v>
      </c>
      <c r="CQ111" s="235"/>
      <c r="CR111" s="235"/>
      <c r="CS111" s="305" t="e">
        <f>CP111*CR109</f>
        <v>#REF!</v>
      </c>
      <c r="CT111" s="309" t="s">
        <v>214</v>
      </c>
      <c r="CU111" s="305" t="e">
        <f>IF(CS111&gt;0,CJ109-CS111,0)</f>
        <v>#REF!</v>
      </c>
      <c r="CV111" s="310" t="s">
        <v>214</v>
      </c>
    </row>
    <row r="112" spans="6:100" ht="12.75" hidden="1">
      <c r="F112" s="384" t="e">
        <f>C112*#REF!</f>
        <v>#REF!</v>
      </c>
      <c r="I112" s="234">
        <f>IF((K109+1)-K112&lt;(K109+1),(K109+1)-K112," ")</f>
        <v>4</v>
      </c>
      <c r="J112" s="235"/>
      <c r="K112" s="235">
        <f t="shared" si="13"/>
        <v>21</v>
      </c>
      <c r="L112" s="235"/>
      <c r="M112" s="235"/>
      <c r="N112" s="235"/>
      <c r="O112" s="305" t="e">
        <f>#REF!*N109</f>
        <v>#REF!</v>
      </c>
      <c r="P112" s="306" t="e">
        <f ca="1">SUM(OFFSET(O109,K103,0):OFFSET(O109,(K103+12-1),0))</f>
        <v>#REF!</v>
      </c>
      <c r="Q112" s="305" t="e">
        <f>IF(O112&gt;0,G109-O112,0)</f>
        <v>#REF!</v>
      </c>
      <c r="R112" s="307" t="e">
        <f ca="1">SUM(OFFSET(Q109,K103,0):OFFSET(Q109,(K103+12-1),0))</f>
        <v>#REF!</v>
      </c>
      <c r="U112" s="234" t="str">
        <f>IF((W110+1)-W112&lt;(W110+1),(W110+1)-W112," ")</f>
        <v> </v>
      </c>
      <c r="V112" s="235"/>
      <c r="W112" s="235">
        <f t="shared" si="17"/>
        <v>0</v>
      </c>
      <c r="X112" s="235"/>
      <c r="Y112" s="235" t="e">
        <f>W112/((W110+1)*(W110/2))</f>
        <v>#DIV/0!</v>
      </c>
      <c r="Z112" s="235"/>
      <c r="AA112" s="235"/>
      <c r="AB112" s="305" t="e">
        <f>Y112*AA110</f>
        <v>#DIV/0!</v>
      </c>
      <c r="AC112" s="309" t="s">
        <v>214</v>
      </c>
      <c r="AD112" s="305" t="e">
        <f>IF(AB112&gt;0,S110-AB112,0)</f>
        <v>#DIV/0!</v>
      </c>
      <c r="AE112" s="310" t="s">
        <v>214</v>
      </c>
      <c r="AO112" s="234">
        <f>IF((AQ110+1)-AQ112&lt;(AQ110+1),(AQ110+1)-AQ112," ")</f>
        <v>3</v>
      </c>
      <c r="AP112" s="235"/>
      <c r="AQ112" s="235">
        <f t="shared" si="18"/>
        <v>22</v>
      </c>
      <c r="AR112" s="235"/>
      <c r="AS112" s="235">
        <f>AQ112/((AQ110+1)*(AQ110/2))</f>
        <v>0.07333333333333333</v>
      </c>
      <c r="AT112" s="235"/>
      <c r="AU112" s="235"/>
      <c r="AV112" s="305">
        <f>AS112*AU110</f>
        <v>0</v>
      </c>
      <c r="AW112" s="309" t="s">
        <v>214</v>
      </c>
      <c r="AX112" s="305">
        <f>IF(AV112&gt;0,AM110-AV112,0)</f>
        <v>0</v>
      </c>
      <c r="AY112" s="310" t="s">
        <v>214</v>
      </c>
      <c r="BJ112" s="234">
        <f>IF((BL109+1)-BL112&lt;(BL109+1),(BL109+1)-BL112," ")</f>
        <v>4</v>
      </c>
      <c r="BK112" s="235"/>
      <c r="BL112" s="235">
        <f t="shared" si="14"/>
        <v>21</v>
      </c>
      <c r="BM112" s="235"/>
      <c r="BN112" s="235">
        <f>BL112/((BL109+1)*(BL109/2))</f>
        <v>0.07</v>
      </c>
      <c r="BO112" s="235"/>
      <c r="BP112" s="235"/>
      <c r="BQ112" s="305">
        <f>BN112*BP109</f>
        <v>0</v>
      </c>
      <c r="BR112" s="306">
        <f ca="1">SUM(OFFSET(BQ109,BL103,0):OFFSET(BQ109,(BL103+12-1),0))</f>
        <v>0</v>
      </c>
      <c r="BS112" s="305">
        <f>IF(BQ112&gt;0,BH109-BQ112,0)</f>
        <v>0</v>
      </c>
      <c r="BT112" s="307">
        <f ca="1">SUM(OFFSET(BS109,BL102,0):OFFSET(BS109,(BL102+12-1),0))</f>
        <v>0</v>
      </c>
      <c r="BX112" s="234" t="e">
        <f>IF((BZ109+1)-BZ112&lt;(BZ109+1),(BZ109+1)-BZ112," ")</f>
        <v>#REF!</v>
      </c>
      <c r="BY112" s="235"/>
      <c r="BZ112" s="235" t="e">
        <f t="shared" si="15"/>
        <v>#REF!</v>
      </c>
      <c r="CA112" s="235"/>
      <c r="CB112" s="235" t="e">
        <f>BZ112/((BZ109+1)*(BZ109/2))</f>
        <v>#REF!</v>
      </c>
      <c r="CC112" s="235"/>
      <c r="CD112" s="235"/>
      <c r="CE112" s="305" t="e">
        <f>CB112*CD109</f>
        <v>#REF!</v>
      </c>
      <c r="CF112" s="306" t="e">
        <f ca="1">SUM(OFFSET(CE109,#REF!,0):OFFSET(CE109,(#REF!+12-1),0))</f>
        <v>#REF!</v>
      </c>
      <c r="CG112" s="305" t="e">
        <f>IF(CE112&gt;0,BV109-CE112,0)</f>
        <v>#REF!</v>
      </c>
      <c r="CH112" s="307" t="e">
        <f ca="1">SUM(OFFSET(CG109,#REF!,0):OFFSET(CG109,(#REF!+12-1),0))</f>
        <v>#REF!</v>
      </c>
      <c r="CL112" s="234" t="e">
        <f>IF((CN109+1)-CN112&lt;(CN109+1),(CN109+1)-CN112," ")</f>
        <v>#REF!</v>
      </c>
      <c r="CM112" s="235"/>
      <c r="CN112" s="235" t="e">
        <f t="shared" si="16"/>
        <v>#REF!</v>
      </c>
      <c r="CO112" s="235"/>
      <c r="CP112" s="235" t="e">
        <f>CN112/((CN109+1)*(CN109/2))</f>
        <v>#REF!</v>
      </c>
      <c r="CQ112" s="235"/>
      <c r="CR112" s="235"/>
      <c r="CS112" s="305" t="e">
        <f>CP112*CR109</f>
        <v>#REF!</v>
      </c>
      <c r="CT112" s="306" t="e">
        <f ca="1">SUM(OFFSET(CS109,#REF!,0):OFFSET(CS109,(#REF!+12-1),0))</f>
        <v>#REF!</v>
      </c>
      <c r="CU112" s="305" t="e">
        <f>IF(CS112&gt;0,CJ109-CS112,0)</f>
        <v>#REF!</v>
      </c>
      <c r="CV112" s="307" t="e">
        <f ca="1">SUM(OFFSET(CU109,#REF!,0):OFFSET(CU109,(#REF!+12-1),0))</f>
        <v>#REF!</v>
      </c>
    </row>
    <row r="113" spans="6:100" ht="12.75" hidden="1">
      <c r="F113" s="384" t="e">
        <f>C113*#REF!</f>
        <v>#REF!</v>
      </c>
      <c r="I113" s="234">
        <f>IF((K109+1)-K113&lt;(K109+1),(K109+1)-K113," ")</f>
        <v>5</v>
      </c>
      <c r="J113" s="235"/>
      <c r="K113" s="235">
        <f t="shared" si="13"/>
        <v>20</v>
      </c>
      <c r="L113" s="235"/>
      <c r="M113" s="235"/>
      <c r="N113" s="235"/>
      <c r="O113" s="305" t="e">
        <f>#REF!*N109</f>
        <v>#REF!</v>
      </c>
      <c r="P113" s="309" t="s">
        <v>215</v>
      </c>
      <c r="Q113" s="305" t="e">
        <f>IF(O113&gt;0,G109-O113,0)</f>
        <v>#REF!</v>
      </c>
      <c r="R113" s="310" t="s">
        <v>215</v>
      </c>
      <c r="U113" s="234" t="str">
        <f>IF((W110+1)-W113&lt;(W110+1),(W110+1)-W113," ")</f>
        <v> </v>
      </c>
      <c r="V113" s="235"/>
      <c r="W113" s="235">
        <f t="shared" si="17"/>
        <v>0</v>
      </c>
      <c r="X113" s="235"/>
      <c r="Y113" s="235" t="e">
        <f>W113/((W110+1)*(W110/2))</f>
        <v>#DIV/0!</v>
      </c>
      <c r="Z113" s="235"/>
      <c r="AA113" s="235"/>
      <c r="AB113" s="305" t="e">
        <f>Y113*AA110</f>
        <v>#DIV/0!</v>
      </c>
      <c r="AC113" s="306" t="e">
        <f ca="1">SUM(OFFSET(AB110,W103,0):OFFSET(AB110,(W103+12-1),0))</f>
        <v>#DIV/0!</v>
      </c>
      <c r="AD113" s="305" t="e">
        <f>IF(AB113&gt;0,S110-AB113,0)</f>
        <v>#DIV/0!</v>
      </c>
      <c r="AE113" s="307" t="e">
        <f ca="1">SUM(OFFSET(AD110,W103,0):OFFSET(AD110,(W103+12-1),0))</f>
        <v>#DIV/0!</v>
      </c>
      <c r="AO113" s="234">
        <f>IF((AQ110+1)-AQ113&lt;(AQ110+1),(AQ110+1)-AQ113," ")</f>
        <v>4</v>
      </c>
      <c r="AP113" s="235"/>
      <c r="AQ113" s="235">
        <f t="shared" si="18"/>
        <v>21</v>
      </c>
      <c r="AR113" s="235"/>
      <c r="AS113" s="235">
        <f>AQ113/((AQ110+1)*(AQ110/2))</f>
        <v>0.07</v>
      </c>
      <c r="AT113" s="235"/>
      <c r="AU113" s="235"/>
      <c r="AV113" s="305">
        <f>AS113*AU110</f>
        <v>0</v>
      </c>
      <c r="AW113" s="306">
        <f ca="1">SUM(OFFSET(AV110,AQ103,0):OFFSET(AV110,(AQ103+12-1),0))</f>
        <v>0</v>
      </c>
      <c r="AX113" s="305">
        <f>IF(AV113&gt;0,AM110-AV113,0)</f>
        <v>0</v>
      </c>
      <c r="AY113" s="307">
        <f ca="1">SUM(OFFSET(AX110,AQ103,0):OFFSET(AX110,(AQ103+12-1),0))</f>
        <v>0</v>
      </c>
      <c r="BJ113" s="234">
        <f>IF((BL109+1)-BL113&lt;(BL109+1),(BL109+1)-BL113," ")</f>
        <v>5</v>
      </c>
      <c r="BK113" s="235"/>
      <c r="BL113" s="235">
        <f t="shared" si="14"/>
        <v>20</v>
      </c>
      <c r="BM113" s="235"/>
      <c r="BN113" s="235">
        <f>BL113/((BL109+1)*(BL109/2))</f>
        <v>0.06666666666666667</v>
      </c>
      <c r="BO113" s="235"/>
      <c r="BP113" s="235"/>
      <c r="BQ113" s="305">
        <f>BN113*BP109</f>
        <v>0</v>
      </c>
      <c r="BR113" s="309" t="s">
        <v>215</v>
      </c>
      <c r="BS113" s="305">
        <f>IF(BQ113&gt;0,BH109-BQ113,0)</f>
        <v>0</v>
      </c>
      <c r="BT113" s="310" t="s">
        <v>215</v>
      </c>
      <c r="BX113" s="234" t="e">
        <f>IF((BZ109+1)-BZ113&lt;(BZ109+1),(BZ109+1)-BZ113," ")</f>
        <v>#REF!</v>
      </c>
      <c r="BY113" s="235"/>
      <c r="BZ113" s="235" t="e">
        <f t="shared" si="15"/>
        <v>#REF!</v>
      </c>
      <c r="CA113" s="235"/>
      <c r="CB113" s="235" t="e">
        <f>BZ113/((BZ109+1)*(BZ109/2))</f>
        <v>#REF!</v>
      </c>
      <c r="CC113" s="235"/>
      <c r="CD113" s="235"/>
      <c r="CE113" s="305" t="e">
        <f>CB113*CD109</f>
        <v>#REF!</v>
      </c>
      <c r="CF113" s="309" t="s">
        <v>215</v>
      </c>
      <c r="CG113" s="305" t="e">
        <f>IF(CE113&gt;0,BV109-CE113,0)</f>
        <v>#REF!</v>
      </c>
      <c r="CH113" s="310" t="s">
        <v>215</v>
      </c>
      <c r="CL113" s="234" t="e">
        <f>IF((CN109+1)-CN113&lt;(CN109+1),(CN109+1)-CN113," ")</f>
        <v>#REF!</v>
      </c>
      <c r="CM113" s="235"/>
      <c r="CN113" s="235" t="e">
        <f t="shared" si="16"/>
        <v>#REF!</v>
      </c>
      <c r="CO113" s="235"/>
      <c r="CP113" s="235" t="e">
        <f>CN113/((CN109+1)*(CN109/2))</f>
        <v>#REF!</v>
      </c>
      <c r="CQ113" s="235"/>
      <c r="CR113" s="235"/>
      <c r="CS113" s="305" t="e">
        <f>CP113*CR109</f>
        <v>#REF!</v>
      </c>
      <c r="CT113" s="309" t="s">
        <v>215</v>
      </c>
      <c r="CU113" s="305" t="e">
        <f>IF(CS113&gt;0,CJ109-CS113,0)</f>
        <v>#REF!</v>
      </c>
      <c r="CV113" s="310" t="s">
        <v>215</v>
      </c>
    </row>
    <row r="114" spans="6:100" ht="12.75" hidden="1">
      <c r="F114" s="384" t="e">
        <f>C114*#REF!</f>
        <v>#REF!</v>
      </c>
      <c r="I114" s="234">
        <f>IF((K109+1)-K114&lt;(K109+1),(K109+1)-K114," ")</f>
        <v>6</v>
      </c>
      <c r="J114" s="235"/>
      <c r="K114" s="235">
        <f t="shared" si="13"/>
        <v>19</v>
      </c>
      <c r="L114" s="235"/>
      <c r="M114" s="235"/>
      <c r="N114" s="235"/>
      <c r="O114" s="305" t="e">
        <f>#REF!*N109</f>
        <v>#REF!</v>
      </c>
      <c r="P114" s="306" t="e">
        <f ca="1">SUM(OFFSET(O109,K103+12,0):OFFSET(O109,(K103+24-1),0))</f>
        <v>#REF!</v>
      </c>
      <c r="Q114" s="305" t="e">
        <f>IF(O114&gt;0,G109-O114,0)</f>
        <v>#REF!</v>
      </c>
      <c r="R114" s="307" t="e">
        <f ca="1">SUM(OFFSET(Q109,K103+12,0):OFFSET(Q109,(K103+24-1),0))</f>
        <v>#REF!</v>
      </c>
      <c r="U114" s="234" t="str">
        <f>IF((W110+1)-W114&lt;(W110+1),(W110+1)-W114," ")</f>
        <v> </v>
      </c>
      <c r="V114" s="235"/>
      <c r="W114" s="235">
        <f t="shared" si="17"/>
        <v>0</v>
      </c>
      <c r="X114" s="235"/>
      <c r="Y114" s="235" t="e">
        <f>W114/((W110+1)*(W110/2))</f>
        <v>#DIV/0!</v>
      </c>
      <c r="Z114" s="235"/>
      <c r="AA114" s="235"/>
      <c r="AB114" s="305" t="e">
        <f>Y114*AA110</f>
        <v>#DIV/0!</v>
      </c>
      <c r="AC114" s="309" t="s">
        <v>215</v>
      </c>
      <c r="AD114" s="305" t="e">
        <f>IF(AB114&gt;0,S110-AB114,0)</f>
        <v>#DIV/0!</v>
      </c>
      <c r="AE114" s="310" t="s">
        <v>215</v>
      </c>
      <c r="AO114" s="234">
        <f>IF((AQ110+1)-AQ114&lt;(AQ110+1),(AQ110+1)-AQ114," ")</f>
        <v>5</v>
      </c>
      <c r="AP114" s="235"/>
      <c r="AQ114" s="235">
        <f t="shared" si="18"/>
        <v>20</v>
      </c>
      <c r="AR114" s="235"/>
      <c r="AS114" s="235">
        <f>AQ114/((AQ110+1)*(AQ110/2))</f>
        <v>0.06666666666666667</v>
      </c>
      <c r="AT114" s="235"/>
      <c r="AU114" s="235"/>
      <c r="AV114" s="305">
        <f>AS114*AU110</f>
        <v>0</v>
      </c>
      <c r="AW114" s="309" t="s">
        <v>215</v>
      </c>
      <c r="AX114" s="305">
        <f>IF(AV114&gt;0,AM110-AV114,0)</f>
        <v>0</v>
      </c>
      <c r="AY114" s="310" t="s">
        <v>215</v>
      </c>
      <c r="BJ114" s="234">
        <f>IF((BL109+1)-BL114&lt;(BL109+1),(BL109+1)-BL114," ")</f>
        <v>6</v>
      </c>
      <c r="BK114" s="235"/>
      <c r="BL114" s="235">
        <f t="shared" si="14"/>
        <v>19</v>
      </c>
      <c r="BM114" s="235"/>
      <c r="BN114" s="235">
        <f>BL114/((BL109+1)*(BL109/2))</f>
        <v>0.06333333333333334</v>
      </c>
      <c r="BO114" s="235"/>
      <c r="BP114" s="235"/>
      <c r="BQ114" s="305">
        <f>BN114*BP109</f>
        <v>0</v>
      </c>
      <c r="BR114" s="306">
        <f ca="1">SUM(OFFSET(BQ109,BL103+12,0):OFFSET(BQ109,(BL103+24-1),0))</f>
        <v>0</v>
      </c>
      <c r="BS114" s="305">
        <f>IF(BQ114&gt;0,BH109-BQ114,0)</f>
        <v>0</v>
      </c>
      <c r="BT114" s="307">
        <f ca="1">SUM(OFFSET(BS109,BL102+12,0):OFFSET(BS109,(BL102+24-1),0))</f>
        <v>0</v>
      </c>
      <c r="BX114" s="234" t="e">
        <f>IF((BZ109+1)-BZ114&lt;(BZ109+1),(BZ109+1)-BZ114," ")</f>
        <v>#REF!</v>
      </c>
      <c r="BY114" s="235"/>
      <c r="BZ114" s="235" t="e">
        <f t="shared" si="15"/>
        <v>#REF!</v>
      </c>
      <c r="CA114" s="235"/>
      <c r="CB114" s="235" t="e">
        <f>BZ114/((BZ109+1)*(BZ109/2))</f>
        <v>#REF!</v>
      </c>
      <c r="CC114" s="235"/>
      <c r="CD114" s="235"/>
      <c r="CE114" s="305" t="e">
        <f>CB114*CD109</f>
        <v>#REF!</v>
      </c>
      <c r="CF114" s="306" t="e">
        <f ca="1">SUM(OFFSET(CE109,#REF!+12,0):OFFSET(CE109,(#REF!+24-1),0))</f>
        <v>#REF!</v>
      </c>
      <c r="CG114" s="305" t="e">
        <f>IF(CE114&gt;0,BV109-CE114,0)</f>
        <v>#REF!</v>
      </c>
      <c r="CH114" s="307" t="e">
        <f ca="1">SUM(OFFSET(CG109,#REF!+12,0):OFFSET(CG109,(#REF!+24-1),0))</f>
        <v>#REF!</v>
      </c>
      <c r="CL114" s="234" t="e">
        <f>IF((CN109+1)-CN114&lt;(CN109+1),(CN109+1)-CN114," ")</f>
        <v>#REF!</v>
      </c>
      <c r="CM114" s="235"/>
      <c r="CN114" s="235" t="e">
        <f t="shared" si="16"/>
        <v>#REF!</v>
      </c>
      <c r="CO114" s="235"/>
      <c r="CP114" s="235" t="e">
        <f>CN114/((CN109+1)*(CN109/2))</f>
        <v>#REF!</v>
      </c>
      <c r="CQ114" s="235"/>
      <c r="CR114" s="235"/>
      <c r="CS114" s="305" t="e">
        <f>CP114*CR109</f>
        <v>#REF!</v>
      </c>
      <c r="CT114" s="306" t="e">
        <f ca="1">SUM(OFFSET(CS109,#REF!+12,0):OFFSET(CS109,(#REF!+24-1),0))</f>
        <v>#REF!</v>
      </c>
      <c r="CU114" s="305" t="e">
        <f>IF(CS114&gt;0,CJ109-CS114,0)</f>
        <v>#REF!</v>
      </c>
      <c r="CV114" s="307" t="e">
        <f ca="1">SUM(OFFSET(CU109,#REF!+12,0):OFFSET(CU109,(#REF!+24-1),0))</f>
        <v>#REF!</v>
      </c>
    </row>
    <row r="115" spans="6:100" ht="12.75" hidden="1">
      <c r="F115" s="384" t="e">
        <f>C115*#REF!</f>
        <v>#REF!</v>
      </c>
      <c r="I115" s="234">
        <f>IF((K109+1)-K115&lt;(K109+1),(K109+1)-K115," ")</f>
        <v>7</v>
      </c>
      <c r="J115" s="235"/>
      <c r="K115" s="235">
        <f t="shared" si="13"/>
        <v>18</v>
      </c>
      <c r="L115" s="235"/>
      <c r="M115" s="235"/>
      <c r="N115" s="235"/>
      <c r="O115" s="305" t="e">
        <f>#REF!*N109</f>
        <v>#REF!</v>
      </c>
      <c r="P115" s="309" t="s">
        <v>216</v>
      </c>
      <c r="Q115" s="305" t="e">
        <f>IF(O115&gt;0,G109-O115,0)</f>
        <v>#REF!</v>
      </c>
      <c r="R115" s="310" t="s">
        <v>216</v>
      </c>
      <c r="U115" s="234" t="str">
        <f>IF((W110+1)-W115&lt;(W110+1),(W110+1)-W115," ")</f>
        <v> </v>
      </c>
      <c r="V115" s="235"/>
      <c r="W115" s="235">
        <f t="shared" si="17"/>
        <v>0</v>
      </c>
      <c r="X115" s="235"/>
      <c r="Y115" s="235" t="e">
        <f>W115/((W110+1)*(W110/2))</f>
        <v>#DIV/0!</v>
      </c>
      <c r="Z115" s="235"/>
      <c r="AA115" s="235"/>
      <c r="AB115" s="305" t="e">
        <f>Y115*AA110</f>
        <v>#DIV/0!</v>
      </c>
      <c r="AC115" s="306" t="e">
        <f ca="1">SUM(OFFSET(AB110,W103+12,0):OFFSET(AB110,(W103+24-1),0))</f>
        <v>#DIV/0!</v>
      </c>
      <c r="AD115" s="305" t="e">
        <f>IF(AB115&gt;0,S110-AB115,0)</f>
        <v>#DIV/0!</v>
      </c>
      <c r="AE115" s="307" t="e">
        <f ca="1">SUM(OFFSET(AD110,W103+12,0):OFFSET(AD110,(W103+24-1),0))</f>
        <v>#DIV/0!</v>
      </c>
      <c r="AO115" s="234">
        <f>IF((AQ110+1)-AQ115&lt;(AQ110+1),(AQ110+1)-AQ115," ")</f>
        <v>6</v>
      </c>
      <c r="AP115" s="235"/>
      <c r="AQ115" s="235">
        <f t="shared" si="18"/>
        <v>19</v>
      </c>
      <c r="AR115" s="235"/>
      <c r="AS115" s="235">
        <f>AQ115/((AQ110+1)*(AQ110/2))</f>
        <v>0.06333333333333334</v>
      </c>
      <c r="AT115" s="235"/>
      <c r="AU115" s="235"/>
      <c r="AV115" s="305">
        <f>AS115*AU110</f>
        <v>0</v>
      </c>
      <c r="AW115" s="306">
        <f ca="1">SUM(OFFSET(AV110,AQ103+12,0):OFFSET(AV110,(AQ103+24-1),0))</f>
        <v>0</v>
      </c>
      <c r="AX115" s="305">
        <f>IF(AV115&gt;0,AM110-AV115,0)</f>
        <v>0</v>
      </c>
      <c r="AY115" s="307">
        <f ca="1">SUM(OFFSET(AX110,AQ103+12,0):OFFSET(AX110,(AQ103+24-1),0))</f>
        <v>0</v>
      </c>
      <c r="BJ115" s="234">
        <f>IF((BL109+1)-BL115&lt;(BL109+1),(BL109+1)-BL115," ")</f>
        <v>7</v>
      </c>
      <c r="BK115" s="235"/>
      <c r="BL115" s="235">
        <f t="shared" si="14"/>
        <v>18</v>
      </c>
      <c r="BM115" s="235"/>
      <c r="BN115" s="235">
        <f>BL115/((BL109+1)*(BL109/2))</f>
        <v>0.06</v>
      </c>
      <c r="BO115" s="235"/>
      <c r="BP115" s="235"/>
      <c r="BQ115" s="305">
        <f>BN115*BP109</f>
        <v>0</v>
      </c>
      <c r="BR115" s="309" t="s">
        <v>216</v>
      </c>
      <c r="BS115" s="305">
        <f>IF(BQ115&gt;0,BH109-BQ115,0)</f>
        <v>0</v>
      </c>
      <c r="BT115" s="310" t="s">
        <v>216</v>
      </c>
      <c r="BX115" s="234" t="e">
        <f>IF((BZ109+1)-BZ115&lt;(BZ109+1),(BZ109+1)-BZ115," ")</f>
        <v>#REF!</v>
      </c>
      <c r="BY115" s="235"/>
      <c r="BZ115" s="235" t="e">
        <f t="shared" si="15"/>
        <v>#REF!</v>
      </c>
      <c r="CA115" s="235"/>
      <c r="CB115" s="235" t="e">
        <f>BZ115/((BZ109+1)*(BZ109/2))</f>
        <v>#REF!</v>
      </c>
      <c r="CC115" s="235"/>
      <c r="CD115" s="235"/>
      <c r="CE115" s="305" t="e">
        <f>CB115*CD109</f>
        <v>#REF!</v>
      </c>
      <c r="CF115" s="309" t="s">
        <v>216</v>
      </c>
      <c r="CG115" s="305" t="e">
        <f>IF(CE115&gt;0,BV109-CE115,0)</f>
        <v>#REF!</v>
      </c>
      <c r="CH115" s="310" t="s">
        <v>216</v>
      </c>
      <c r="CL115" s="234" t="e">
        <f>IF((CN109+1)-CN115&lt;(CN109+1),(CN109+1)-CN115," ")</f>
        <v>#REF!</v>
      </c>
      <c r="CM115" s="235"/>
      <c r="CN115" s="235" t="e">
        <f t="shared" si="16"/>
        <v>#REF!</v>
      </c>
      <c r="CO115" s="235"/>
      <c r="CP115" s="235" t="e">
        <f>CN115/((CN109+1)*(CN109/2))</f>
        <v>#REF!</v>
      </c>
      <c r="CQ115" s="235"/>
      <c r="CR115" s="235"/>
      <c r="CS115" s="305" t="e">
        <f>CP115*CR109</f>
        <v>#REF!</v>
      </c>
      <c r="CT115" s="309" t="s">
        <v>216</v>
      </c>
      <c r="CU115" s="305" t="e">
        <f>IF(CS115&gt;0,CJ109-CS115,0)</f>
        <v>#REF!</v>
      </c>
      <c r="CV115" s="310" t="s">
        <v>216</v>
      </c>
    </row>
    <row r="116" spans="6:100" ht="12.75" hidden="1">
      <c r="F116" s="384" t="e">
        <f>C116*#REF!</f>
        <v>#REF!</v>
      </c>
      <c r="I116" s="234">
        <f>IF((K109+1)-K116&lt;(K109+1),(K109+1)-K116," ")</f>
        <v>8</v>
      </c>
      <c r="J116" s="235"/>
      <c r="K116" s="235">
        <f t="shared" si="13"/>
        <v>17</v>
      </c>
      <c r="L116" s="235"/>
      <c r="M116" s="235"/>
      <c r="N116" s="235"/>
      <c r="O116" s="305" t="e">
        <f>#REF!*N109</f>
        <v>#REF!</v>
      </c>
      <c r="P116" s="306" t="e">
        <f ca="1">SUM(OFFSET(O109,K103+24,0):OFFSET(O109,(K103+36-1),0))</f>
        <v>#REF!</v>
      </c>
      <c r="Q116" s="305" t="e">
        <f>IF(O116&gt;0,G109-O116,0)</f>
        <v>#REF!</v>
      </c>
      <c r="R116" s="307" t="e">
        <f ca="1">SUM(OFFSET(Q109,K103+24,0):OFFSET(Q109,(K103+36-1),0))</f>
        <v>#REF!</v>
      </c>
      <c r="U116" s="234" t="str">
        <f>IF((W110+1)-W116&lt;(W110+1),(W110+1)-W116," ")</f>
        <v> </v>
      </c>
      <c r="V116" s="235"/>
      <c r="W116" s="235">
        <f t="shared" si="17"/>
        <v>0</v>
      </c>
      <c r="X116" s="235"/>
      <c r="Y116" s="235" t="e">
        <f>W116/((W110+1)*(W110/2))</f>
        <v>#DIV/0!</v>
      </c>
      <c r="Z116" s="235"/>
      <c r="AA116" s="235"/>
      <c r="AB116" s="305" t="e">
        <f>Y116*AA110</f>
        <v>#DIV/0!</v>
      </c>
      <c r="AC116" s="309" t="s">
        <v>216</v>
      </c>
      <c r="AD116" s="305" t="e">
        <f>IF(AB116&gt;0,S110-AB116,0)</f>
        <v>#DIV/0!</v>
      </c>
      <c r="AE116" s="310" t="s">
        <v>216</v>
      </c>
      <c r="AO116" s="234">
        <f>IF((AQ110+1)-AQ116&lt;(AQ110+1),(AQ110+1)-AQ116," ")</f>
        <v>7</v>
      </c>
      <c r="AP116" s="235"/>
      <c r="AQ116" s="235">
        <f t="shared" si="18"/>
        <v>18</v>
      </c>
      <c r="AR116" s="235"/>
      <c r="AS116" s="235">
        <f>AQ116/((AQ110+1)*(AQ110/2))</f>
        <v>0.06</v>
      </c>
      <c r="AT116" s="235"/>
      <c r="AU116" s="235"/>
      <c r="AV116" s="305">
        <f>AS116*AU110</f>
        <v>0</v>
      </c>
      <c r="AW116" s="309" t="s">
        <v>216</v>
      </c>
      <c r="AX116" s="305">
        <f>IF(AV116&gt;0,AM110-AV116,0)</f>
        <v>0</v>
      </c>
      <c r="AY116" s="310" t="s">
        <v>216</v>
      </c>
      <c r="BJ116" s="234">
        <f>IF((BL109+1)-BL116&lt;(BL109+1),(BL109+1)-BL116," ")</f>
        <v>8</v>
      </c>
      <c r="BK116" s="235"/>
      <c r="BL116" s="235">
        <f t="shared" si="14"/>
        <v>17</v>
      </c>
      <c r="BM116" s="235"/>
      <c r="BN116" s="235">
        <f>BL116/((BL109+1)*(BL109/2))</f>
        <v>0.056666666666666664</v>
      </c>
      <c r="BO116" s="235"/>
      <c r="BP116" s="235"/>
      <c r="BQ116" s="305">
        <f>BN116*BP109</f>
        <v>0</v>
      </c>
      <c r="BR116" s="306">
        <f ca="1">SUM(OFFSET(BQ109,BL103+24,0):OFFSET(BQ109,(BL103+36-1),0))</f>
        <v>0</v>
      </c>
      <c r="BS116" s="305">
        <f>IF(BQ116&gt;0,BH109-BQ116,0)</f>
        <v>0</v>
      </c>
      <c r="BT116" s="307">
        <f ca="1">SUM(OFFSET(BS109,BL102+24,0):OFFSET(BS109,(BL102+36-1),0))</f>
        <v>0</v>
      </c>
      <c r="BX116" s="234" t="e">
        <f>IF((BZ109+1)-BZ116&lt;(BZ109+1),(BZ109+1)-BZ116," ")</f>
        <v>#REF!</v>
      </c>
      <c r="BY116" s="235"/>
      <c r="BZ116" s="235" t="e">
        <f t="shared" si="15"/>
        <v>#REF!</v>
      </c>
      <c r="CA116" s="235"/>
      <c r="CB116" s="235" t="e">
        <f>BZ116/((BZ109+1)*(BZ109/2))</f>
        <v>#REF!</v>
      </c>
      <c r="CC116" s="235"/>
      <c r="CD116" s="235"/>
      <c r="CE116" s="305" t="e">
        <f>CB116*CD109</f>
        <v>#REF!</v>
      </c>
      <c r="CF116" s="306" t="e">
        <f ca="1">SUM(OFFSET(CE109,#REF!+24,0):OFFSET(CE109,(#REF!+36-1),0))</f>
        <v>#REF!</v>
      </c>
      <c r="CG116" s="305" t="e">
        <f>IF(CE116&gt;0,BV109-CE116,0)</f>
        <v>#REF!</v>
      </c>
      <c r="CH116" s="307" t="e">
        <f ca="1">SUM(OFFSET(CG109,#REF!+24,0):OFFSET(CG109,(#REF!+36-1),0))</f>
        <v>#REF!</v>
      </c>
      <c r="CL116" s="234" t="e">
        <f>IF((CN109+1)-CN116&lt;(CN109+1),(CN109+1)-CN116," ")</f>
        <v>#REF!</v>
      </c>
      <c r="CM116" s="235"/>
      <c r="CN116" s="235" t="e">
        <f t="shared" si="16"/>
        <v>#REF!</v>
      </c>
      <c r="CO116" s="235"/>
      <c r="CP116" s="235" t="e">
        <f>CN116/((CN109+1)*(CN109/2))</f>
        <v>#REF!</v>
      </c>
      <c r="CQ116" s="235"/>
      <c r="CR116" s="235"/>
      <c r="CS116" s="305" t="e">
        <f>CP116*CR109</f>
        <v>#REF!</v>
      </c>
      <c r="CT116" s="306" t="e">
        <f ca="1">SUM(OFFSET(CS109,#REF!+24,0):OFFSET(CS109,(#REF!+36-1),0))</f>
        <v>#REF!</v>
      </c>
      <c r="CU116" s="305" t="e">
        <f>IF(CS116&gt;0,CJ109-CS116,0)</f>
        <v>#REF!</v>
      </c>
      <c r="CV116" s="307" t="e">
        <f ca="1">SUM(OFFSET(CU109,#REF!+24,0):OFFSET(CU109,(#REF!+36-1),0))</f>
        <v>#REF!</v>
      </c>
    </row>
    <row r="117" spans="6:100" ht="12.75" hidden="1">
      <c r="F117" s="384" t="e">
        <f>C117*#REF!</f>
        <v>#REF!</v>
      </c>
      <c r="I117" s="234">
        <f>IF((K109+1)-K117&lt;(K109+1),(K109+1)-K117," ")</f>
        <v>9</v>
      </c>
      <c r="J117" s="235"/>
      <c r="K117" s="235">
        <f t="shared" si="13"/>
        <v>16</v>
      </c>
      <c r="L117" s="235"/>
      <c r="M117" s="235"/>
      <c r="N117" s="235"/>
      <c r="O117" s="305" t="e">
        <f>#REF!*N109</f>
        <v>#REF!</v>
      </c>
      <c r="P117" s="309" t="s">
        <v>217</v>
      </c>
      <c r="Q117" s="305" t="e">
        <f>IF(O117&gt;0,G109-O117,0)</f>
        <v>#REF!</v>
      </c>
      <c r="R117" s="310" t="s">
        <v>217</v>
      </c>
      <c r="U117" s="234" t="str">
        <f>IF((W110+1)-W117&lt;(W110+1),(W110+1)-W117," ")</f>
        <v> </v>
      </c>
      <c r="V117" s="235"/>
      <c r="W117" s="235">
        <f t="shared" si="17"/>
        <v>0</v>
      </c>
      <c r="X117" s="235"/>
      <c r="Y117" s="235" t="e">
        <f>W117/((W110+1)*(W110/2))</f>
        <v>#DIV/0!</v>
      </c>
      <c r="Z117" s="235"/>
      <c r="AA117" s="235"/>
      <c r="AB117" s="305" t="e">
        <f>Y117*AA110</f>
        <v>#DIV/0!</v>
      </c>
      <c r="AC117" s="306" t="e">
        <f ca="1">SUM(OFFSET(AB110,W103+24,0):OFFSET(AB110,(W103+36-1),0))</f>
        <v>#DIV/0!</v>
      </c>
      <c r="AD117" s="305" t="e">
        <f>IF(AB117&gt;0,S110-AB117,0)</f>
        <v>#DIV/0!</v>
      </c>
      <c r="AE117" s="307" t="e">
        <f ca="1">SUM(OFFSET(AD110,W103+24,0):OFFSET(AD110,(W103+36-1),0))</f>
        <v>#DIV/0!</v>
      </c>
      <c r="AO117" s="234">
        <f>IF((AQ110+1)-AQ117&lt;(AQ110+1),(AQ110+1)-AQ117," ")</f>
        <v>8</v>
      </c>
      <c r="AP117" s="235"/>
      <c r="AQ117" s="235">
        <f t="shared" si="18"/>
        <v>17</v>
      </c>
      <c r="AR117" s="235"/>
      <c r="AS117" s="235">
        <f>AQ117/((AQ110+1)*(AQ110/2))</f>
        <v>0.056666666666666664</v>
      </c>
      <c r="AT117" s="235"/>
      <c r="AU117" s="235"/>
      <c r="AV117" s="305">
        <f>AS117*AU110</f>
        <v>0</v>
      </c>
      <c r="AW117" s="306">
        <f ca="1">SUM(OFFSET(AV110,AQ103+24,0):OFFSET(AV110,(AQ103+36-1),0))</f>
        <v>0</v>
      </c>
      <c r="AX117" s="305">
        <f>IF(AV117&gt;0,AM110-AV117,0)</f>
        <v>0</v>
      </c>
      <c r="AY117" s="307">
        <f ca="1">SUM(OFFSET(AX110,AQ103+24,0):OFFSET(AX110,(AQ103+36-1),0))</f>
        <v>0</v>
      </c>
      <c r="BJ117" s="234">
        <f>IF((BL109+1)-BL117&lt;(BL109+1),(BL109+1)-BL117," ")</f>
        <v>9</v>
      </c>
      <c r="BK117" s="235"/>
      <c r="BL117" s="235">
        <f t="shared" si="14"/>
        <v>16</v>
      </c>
      <c r="BM117" s="235"/>
      <c r="BN117" s="235">
        <f>BL117/((BL109+1)*(BL109/2))</f>
        <v>0.05333333333333334</v>
      </c>
      <c r="BO117" s="235"/>
      <c r="BP117" s="235"/>
      <c r="BQ117" s="305">
        <f>BN117*BP109</f>
        <v>0</v>
      </c>
      <c r="BR117" s="309" t="s">
        <v>217</v>
      </c>
      <c r="BS117" s="305">
        <f>IF(BQ117&gt;0,BH109-BQ117,0)</f>
        <v>0</v>
      </c>
      <c r="BT117" s="310" t="s">
        <v>217</v>
      </c>
      <c r="BX117" s="234" t="e">
        <f>IF((BZ109+1)-BZ117&lt;(BZ109+1),(BZ109+1)-BZ117," ")</f>
        <v>#REF!</v>
      </c>
      <c r="BY117" s="235"/>
      <c r="BZ117" s="235" t="e">
        <f t="shared" si="15"/>
        <v>#REF!</v>
      </c>
      <c r="CA117" s="235"/>
      <c r="CB117" s="235" t="e">
        <f>BZ117/((BZ109+1)*(BZ109/2))</f>
        <v>#REF!</v>
      </c>
      <c r="CC117" s="235"/>
      <c r="CD117" s="235"/>
      <c r="CE117" s="305" t="e">
        <f>CB117*CD109</f>
        <v>#REF!</v>
      </c>
      <c r="CF117" s="309" t="s">
        <v>217</v>
      </c>
      <c r="CG117" s="305" t="e">
        <f>IF(CE117&gt;0,BV109-CE117,0)</f>
        <v>#REF!</v>
      </c>
      <c r="CH117" s="310" t="s">
        <v>217</v>
      </c>
      <c r="CL117" s="234" t="e">
        <f>IF((CN109+1)-CN117&lt;(CN109+1),(CN109+1)-CN117," ")</f>
        <v>#REF!</v>
      </c>
      <c r="CM117" s="235"/>
      <c r="CN117" s="235" t="e">
        <f t="shared" si="16"/>
        <v>#REF!</v>
      </c>
      <c r="CO117" s="235"/>
      <c r="CP117" s="235" t="e">
        <f>CN117/((CN109+1)*(CN109/2))</f>
        <v>#REF!</v>
      </c>
      <c r="CQ117" s="235"/>
      <c r="CR117" s="235"/>
      <c r="CS117" s="305" t="e">
        <f>CP117*CR109</f>
        <v>#REF!</v>
      </c>
      <c r="CT117" s="309" t="s">
        <v>217</v>
      </c>
      <c r="CU117" s="305" t="e">
        <f>IF(CS117&gt;0,CJ109-CS117,0)</f>
        <v>#REF!</v>
      </c>
      <c r="CV117" s="310" t="s">
        <v>217</v>
      </c>
    </row>
    <row r="118" spans="6:100" ht="12.75" hidden="1">
      <c r="F118" s="384" t="e">
        <f>C118*#REF!</f>
        <v>#REF!</v>
      </c>
      <c r="I118" s="234">
        <f>IF((K109+1)-K118&lt;(K109+1),(K109+1)-K118," ")</f>
        <v>10</v>
      </c>
      <c r="J118" s="235"/>
      <c r="K118" s="235">
        <f t="shared" si="13"/>
        <v>15</v>
      </c>
      <c r="L118" s="235"/>
      <c r="M118" s="235"/>
      <c r="N118" s="235"/>
      <c r="O118" s="305" t="e">
        <f>#REF!*N109</f>
        <v>#REF!</v>
      </c>
      <c r="P118" s="306" t="e">
        <f ca="1">SUM(OFFSET(O109,K103+36,0):OFFSET(O109,(K103+48-1),0))</f>
        <v>#REF!</v>
      </c>
      <c r="Q118" s="305" t="e">
        <f>IF(O118&gt;0,G109-O118,0)</f>
        <v>#REF!</v>
      </c>
      <c r="R118" s="307" t="e">
        <f ca="1">SUM(OFFSET(Q109,K103+36,0):OFFSET(Q109,(K103+48-1),0))</f>
        <v>#REF!</v>
      </c>
      <c r="U118" s="234" t="str">
        <f>IF((W110+1)-W118&lt;(W110+1),(W110+1)-W118," ")</f>
        <v> </v>
      </c>
      <c r="V118" s="235"/>
      <c r="W118" s="235">
        <f t="shared" si="17"/>
        <v>0</v>
      </c>
      <c r="X118" s="235"/>
      <c r="Y118" s="235" t="e">
        <f>W118/((W110+1)*(W110/2))</f>
        <v>#DIV/0!</v>
      </c>
      <c r="Z118" s="235"/>
      <c r="AA118" s="235"/>
      <c r="AB118" s="305" t="e">
        <f>Y118*AA110</f>
        <v>#DIV/0!</v>
      </c>
      <c r="AC118" s="309" t="s">
        <v>217</v>
      </c>
      <c r="AD118" s="305" t="e">
        <f>IF(AB118&gt;0,S110-AB118,0)</f>
        <v>#DIV/0!</v>
      </c>
      <c r="AE118" s="310" t="s">
        <v>217</v>
      </c>
      <c r="AO118" s="234">
        <f>IF((AQ110+1)-AQ118&lt;(AQ110+1),(AQ110+1)-AQ118," ")</f>
        <v>9</v>
      </c>
      <c r="AP118" s="235"/>
      <c r="AQ118" s="235">
        <f t="shared" si="18"/>
        <v>16</v>
      </c>
      <c r="AR118" s="235"/>
      <c r="AS118" s="235">
        <f>AQ118/((AQ110+1)*(AQ110/2))</f>
        <v>0.05333333333333334</v>
      </c>
      <c r="AT118" s="235"/>
      <c r="AU118" s="235"/>
      <c r="AV118" s="305">
        <f>AS118*AU110</f>
        <v>0</v>
      </c>
      <c r="AW118" s="309" t="s">
        <v>217</v>
      </c>
      <c r="AX118" s="305">
        <f>IF(AV118&gt;0,AM110-AV118,0)</f>
        <v>0</v>
      </c>
      <c r="AY118" s="310" t="s">
        <v>217</v>
      </c>
      <c r="BJ118" s="234">
        <f>IF((BL109+1)-BL118&lt;(BL109+1),(BL109+1)-BL118," ")</f>
        <v>10</v>
      </c>
      <c r="BK118" s="235"/>
      <c r="BL118" s="235">
        <f t="shared" si="14"/>
        <v>15</v>
      </c>
      <c r="BM118" s="235"/>
      <c r="BN118" s="235">
        <f>BL118/((BL109+1)*(BL109/2))</f>
        <v>0.05</v>
      </c>
      <c r="BO118" s="235"/>
      <c r="BP118" s="235"/>
      <c r="BQ118" s="305">
        <f>BN118*BP109</f>
        <v>0</v>
      </c>
      <c r="BR118" s="306">
        <f ca="1">SUM(OFFSET(BQ109,BL103+36,0):OFFSET(BQ109,(BL103+48-1),0))</f>
        <v>0</v>
      </c>
      <c r="BS118" s="305">
        <f>IF(BQ118&gt;0,BH109-BQ118,0)</f>
        <v>0</v>
      </c>
      <c r="BT118" s="307">
        <f ca="1">SUM(OFFSET(BS109,BL102+36,0):OFFSET(BS109,(BL102+48-1),0))</f>
        <v>0</v>
      </c>
      <c r="BX118" s="234" t="e">
        <f>IF((BZ109+1)-BZ118&lt;(BZ109+1),(BZ109+1)-BZ118," ")</f>
        <v>#REF!</v>
      </c>
      <c r="BY118" s="235"/>
      <c r="BZ118" s="235" t="e">
        <f t="shared" si="15"/>
        <v>#REF!</v>
      </c>
      <c r="CA118" s="235"/>
      <c r="CB118" s="235" t="e">
        <f>BZ118/((BZ109+1)*(BZ109/2))</f>
        <v>#REF!</v>
      </c>
      <c r="CC118" s="235"/>
      <c r="CD118" s="235"/>
      <c r="CE118" s="305" t="e">
        <f>CB118*CD109</f>
        <v>#REF!</v>
      </c>
      <c r="CF118" s="306" t="e">
        <f ca="1">SUM(OFFSET(CE109,#REF!+36,0):OFFSET(CE109,(#REF!+48-1),0))</f>
        <v>#REF!</v>
      </c>
      <c r="CG118" s="305" t="e">
        <f>IF(CE118&gt;0,BV109-CE118,0)</f>
        <v>#REF!</v>
      </c>
      <c r="CH118" s="307" t="e">
        <f ca="1">SUM(OFFSET(CG109,#REF!+36,0):OFFSET(CG109,(#REF!+48-1),0))</f>
        <v>#REF!</v>
      </c>
      <c r="CL118" s="234" t="e">
        <f>IF((CN109+1)-CN118&lt;(CN109+1),(CN109+1)-CN118," ")</f>
        <v>#REF!</v>
      </c>
      <c r="CM118" s="235"/>
      <c r="CN118" s="235" t="e">
        <f t="shared" si="16"/>
        <v>#REF!</v>
      </c>
      <c r="CO118" s="235"/>
      <c r="CP118" s="235" t="e">
        <f>CN118/((CN109+1)*(CN109/2))</f>
        <v>#REF!</v>
      </c>
      <c r="CQ118" s="235"/>
      <c r="CR118" s="235"/>
      <c r="CS118" s="305" t="e">
        <f>CP118*CR109</f>
        <v>#REF!</v>
      </c>
      <c r="CT118" s="306" t="e">
        <f ca="1">SUM(OFFSET(CS109,#REF!+36,0):OFFSET(CS109,(#REF!+48-1),0))</f>
        <v>#REF!</v>
      </c>
      <c r="CU118" s="305" t="e">
        <f>IF(CS118&gt;0,CJ109-CS118,0)</f>
        <v>#REF!</v>
      </c>
      <c r="CV118" s="307" t="e">
        <f ca="1">SUM(OFFSET(CU109,#REF!+36,0):OFFSET(CU109,(#REF!+48-1),0))</f>
        <v>#REF!</v>
      </c>
    </row>
    <row r="119" spans="6:100" ht="12.75" hidden="1">
      <c r="F119" s="384" t="e">
        <f>C119*#REF!</f>
        <v>#REF!</v>
      </c>
      <c r="I119" s="234">
        <f>IF((K109+1)-K119&lt;(K109+1),(K109+1)-K119," ")</f>
        <v>11</v>
      </c>
      <c r="J119" s="235"/>
      <c r="K119" s="235">
        <f t="shared" si="13"/>
        <v>14</v>
      </c>
      <c r="L119" s="235"/>
      <c r="M119" s="235"/>
      <c r="N119" s="235"/>
      <c r="O119" s="305" t="e">
        <f>#REF!*N109</f>
        <v>#REF!</v>
      </c>
      <c r="P119" s="309" t="s">
        <v>218</v>
      </c>
      <c r="Q119" s="305" t="e">
        <f>IF(O119&gt;0,G109-O119,0)</f>
        <v>#REF!</v>
      </c>
      <c r="R119" s="310" t="s">
        <v>218</v>
      </c>
      <c r="U119" s="234" t="str">
        <f>IF((W110+1)-W119&lt;(W110+1),(W110+1)-W119," ")</f>
        <v> </v>
      </c>
      <c r="V119" s="235"/>
      <c r="W119" s="235">
        <f t="shared" si="17"/>
        <v>0</v>
      </c>
      <c r="X119" s="235"/>
      <c r="Y119" s="235" t="e">
        <f>W119/((W110+1)*(W110/2))</f>
        <v>#DIV/0!</v>
      </c>
      <c r="Z119" s="235"/>
      <c r="AA119" s="235"/>
      <c r="AB119" s="305" t="e">
        <f>Y119*AA110</f>
        <v>#DIV/0!</v>
      </c>
      <c r="AC119" s="306" t="e">
        <f ca="1">SUM(OFFSET(AB110,W103+36,0):OFFSET(AB110,(W103+48-1),0))</f>
        <v>#DIV/0!</v>
      </c>
      <c r="AD119" s="305" t="e">
        <f>IF(AB119&gt;0,S110-AB119,0)</f>
        <v>#DIV/0!</v>
      </c>
      <c r="AE119" s="307" t="e">
        <f ca="1">SUM(OFFSET(AD110,W103+36,0):OFFSET(AD110,(W103+48-1),0))</f>
        <v>#DIV/0!</v>
      </c>
      <c r="AO119" s="234">
        <f>IF((AQ110+1)-AQ119&lt;(AQ110+1),(AQ110+1)-AQ119," ")</f>
        <v>10</v>
      </c>
      <c r="AP119" s="235"/>
      <c r="AQ119" s="235">
        <f t="shared" si="18"/>
        <v>15</v>
      </c>
      <c r="AR119" s="235"/>
      <c r="AS119" s="235">
        <f>AQ119/((AQ110+1)*(AQ110/2))</f>
        <v>0.05</v>
      </c>
      <c r="AT119" s="235"/>
      <c r="AU119" s="235"/>
      <c r="AV119" s="305">
        <f>AS119*AU110</f>
        <v>0</v>
      </c>
      <c r="AW119" s="306">
        <f ca="1">SUM(OFFSET(AV110,AQ103+36,0):OFFSET(AV110,(AQ103+48-1),0))</f>
        <v>0</v>
      </c>
      <c r="AX119" s="305">
        <f>IF(AV119&gt;0,AM110-AV119,0)</f>
        <v>0</v>
      </c>
      <c r="AY119" s="307">
        <f ca="1">SUM(OFFSET(AX110,AQ103+36,0):OFFSET(AX110,(AQ103+48-1),0))</f>
        <v>0</v>
      </c>
      <c r="BJ119" s="234">
        <f>IF((BL109+1)-BL119&lt;(BL109+1),(BL109+1)-BL119," ")</f>
        <v>11</v>
      </c>
      <c r="BK119" s="235"/>
      <c r="BL119" s="235">
        <f t="shared" si="14"/>
        <v>14</v>
      </c>
      <c r="BM119" s="235"/>
      <c r="BN119" s="235">
        <f>BL119/((BL109+1)*(BL109/2))</f>
        <v>0.04666666666666667</v>
      </c>
      <c r="BO119" s="235"/>
      <c r="BP119" s="235"/>
      <c r="BQ119" s="305">
        <f>BN119*BP109</f>
        <v>0</v>
      </c>
      <c r="BR119" s="309" t="s">
        <v>218</v>
      </c>
      <c r="BS119" s="305">
        <f>IF(BQ119&gt;0,BH109-BQ119,0)</f>
        <v>0</v>
      </c>
      <c r="BT119" s="310" t="s">
        <v>218</v>
      </c>
      <c r="BX119" s="234" t="e">
        <f>IF((BZ109+1)-BZ119&lt;(BZ109+1),(BZ109+1)-BZ119," ")</f>
        <v>#REF!</v>
      </c>
      <c r="BY119" s="235"/>
      <c r="BZ119" s="235" t="e">
        <f t="shared" si="15"/>
        <v>#REF!</v>
      </c>
      <c r="CA119" s="235"/>
      <c r="CB119" s="235" t="e">
        <f>BZ119/((BZ109+1)*(BZ109/2))</f>
        <v>#REF!</v>
      </c>
      <c r="CC119" s="235"/>
      <c r="CD119" s="235"/>
      <c r="CE119" s="305" t="e">
        <f>CB119*CD109</f>
        <v>#REF!</v>
      </c>
      <c r="CF119" s="309" t="s">
        <v>218</v>
      </c>
      <c r="CG119" s="305" t="e">
        <f>IF(CE119&gt;0,BV109-CE119,0)</f>
        <v>#REF!</v>
      </c>
      <c r="CH119" s="310" t="s">
        <v>218</v>
      </c>
      <c r="CL119" s="234" t="e">
        <f>IF((CN109+1)-CN119&lt;(CN109+1),(CN109+1)-CN119," ")</f>
        <v>#REF!</v>
      </c>
      <c r="CM119" s="235"/>
      <c r="CN119" s="235" t="e">
        <f t="shared" si="16"/>
        <v>#REF!</v>
      </c>
      <c r="CO119" s="235"/>
      <c r="CP119" s="235" t="e">
        <f>CN119/((CN109+1)*(CN109/2))</f>
        <v>#REF!</v>
      </c>
      <c r="CQ119" s="235"/>
      <c r="CR119" s="235"/>
      <c r="CS119" s="305" t="e">
        <f>CP119*CR109</f>
        <v>#REF!</v>
      </c>
      <c r="CT119" s="309" t="s">
        <v>218</v>
      </c>
      <c r="CU119" s="305" t="e">
        <f>IF(CS119&gt;0,CJ109-CS119,0)</f>
        <v>#REF!</v>
      </c>
      <c r="CV119" s="310" t="s">
        <v>218</v>
      </c>
    </row>
    <row r="120" spans="6:100" ht="12.75" hidden="1">
      <c r="F120" s="384" t="e">
        <f>C120*#REF!</f>
        <v>#REF!</v>
      </c>
      <c r="I120" s="234">
        <f>IF((K109+1)-K120&lt;(K109+1),(K109+1)-K120," ")</f>
        <v>12</v>
      </c>
      <c r="J120" s="235"/>
      <c r="K120" s="235">
        <f t="shared" si="13"/>
        <v>13</v>
      </c>
      <c r="L120" s="235"/>
      <c r="M120" s="235"/>
      <c r="N120" s="235"/>
      <c r="O120" s="305" t="e">
        <f>#REF!*N109</f>
        <v>#REF!</v>
      </c>
      <c r="P120" s="306" t="e">
        <f ca="1">SUM(OFFSET(O109,K103+48,0):OFFSET(O109,(K103+60-1),0))</f>
        <v>#REF!</v>
      </c>
      <c r="Q120" s="305" t="e">
        <f>IF(O120&gt;0,G109-O120,0)</f>
        <v>#REF!</v>
      </c>
      <c r="R120" s="307" t="e">
        <f ca="1">SUM(OFFSET(Q109,K103+48,0):OFFSET(Q109,(K103+60-1),0))</f>
        <v>#REF!</v>
      </c>
      <c r="U120" s="234" t="str">
        <f>IF((W110+1)-W120&lt;(W110+1),(W110+1)-W120," ")</f>
        <v> </v>
      </c>
      <c r="V120" s="235"/>
      <c r="W120" s="235">
        <f t="shared" si="17"/>
        <v>0</v>
      </c>
      <c r="X120" s="235"/>
      <c r="Y120" s="235" t="e">
        <f>W120/((W110+1)*(W110/2))</f>
        <v>#DIV/0!</v>
      </c>
      <c r="Z120" s="235"/>
      <c r="AA120" s="235"/>
      <c r="AB120" s="305" t="e">
        <f>Y120*AA110</f>
        <v>#DIV/0!</v>
      </c>
      <c r="AC120" s="309" t="s">
        <v>218</v>
      </c>
      <c r="AD120" s="305" t="e">
        <f>IF(AB120&gt;0,S110-AB120,0)</f>
        <v>#DIV/0!</v>
      </c>
      <c r="AE120" s="310" t="s">
        <v>218</v>
      </c>
      <c r="AO120" s="234">
        <f>IF((AQ110+1)-AQ120&lt;(AQ110+1),(AQ110+1)-AQ120," ")</f>
        <v>11</v>
      </c>
      <c r="AP120" s="235"/>
      <c r="AQ120" s="235">
        <f t="shared" si="18"/>
        <v>14</v>
      </c>
      <c r="AR120" s="235"/>
      <c r="AS120" s="235">
        <f>AQ120/((AQ110+1)*(AQ110/2))</f>
        <v>0.04666666666666667</v>
      </c>
      <c r="AT120" s="235"/>
      <c r="AU120" s="235"/>
      <c r="AV120" s="305">
        <f>AS120*AU110</f>
        <v>0</v>
      </c>
      <c r="AW120" s="309" t="s">
        <v>218</v>
      </c>
      <c r="AX120" s="305">
        <f>IF(AV120&gt;0,AM110-AV120,0)</f>
        <v>0</v>
      </c>
      <c r="AY120" s="310" t="s">
        <v>218</v>
      </c>
      <c r="BJ120" s="234">
        <f>IF((BL109+1)-BL120&lt;(BL109+1),(BL109+1)-BL120," ")</f>
        <v>12</v>
      </c>
      <c r="BK120" s="235"/>
      <c r="BL120" s="235">
        <f t="shared" si="14"/>
        <v>13</v>
      </c>
      <c r="BM120" s="235"/>
      <c r="BN120" s="235">
        <f>BL120/((BL109+1)*(BL109/2))</f>
        <v>0.043333333333333335</v>
      </c>
      <c r="BO120" s="235"/>
      <c r="BP120" s="235"/>
      <c r="BQ120" s="305">
        <f>BN120*BP109</f>
        <v>0</v>
      </c>
      <c r="BR120" s="306">
        <f ca="1">SUM(OFFSET(BQ109,BL103+48,0):OFFSET(BQ109,(BL103+60-1),0))</f>
        <v>0</v>
      </c>
      <c r="BS120" s="305">
        <f>IF(BQ120&gt;0,BH109-BQ120,0)</f>
        <v>0</v>
      </c>
      <c r="BT120" s="307">
        <f ca="1">SUM(OFFSET(BS109,BL102+48,0):OFFSET(BS109,(BL102+60-1),0))</f>
        <v>0</v>
      </c>
      <c r="BX120" s="234" t="e">
        <f>IF((BZ109+1)-BZ120&lt;(BZ109+1),(BZ109+1)-BZ120," ")</f>
        <v>#REF!</v>
      </c>
      <c r="BY120" s="235"/>
      <c r="BZ120" s="235" t="e">
        <f t="shared" si="15"/>
        <v>#REF!</v>
      </c>
      <c r="CA120" s="235"/>
      <c r="CB120" s="235" t="e">
        <f>BZ120/((BZ109+1)*(BZ109/2))</f>
        <v>#REF!</v>
      </c>
      <c r="CC120" s="235"/>
      <c r="CD120" s="235"/>
      <c r="CE120" s="305" t="e">
        <f>CB120*CD109</f>
        <v>#REF!</v>
      </c>
      <c r="CF120" s="306" t="e">
        <f ca="1">SUM(OFFSET(CE109,#REF!+48,0):OFFSET(CE109,(#REF!+60-1),0))</f>
        <v>#REF!</v>
      </c>
      <c r="CG120" s="305" t="e">
        <f>IF(CE120&gt;0,BV109-CE120,0)</f>
        <v>#REF!</v>
      </c>
      <c r="CH120" s="307" t="e">
        <f ca="1">SUM(OFFSET(CG109,#REF!+48,0):OFFSET(CG109,(#REF!+60-1),0))</f>
        <v>#REF!</v>
      </c>
      <c r="CL120" s="234" t="e">
        <f>IF((CN109+1)-CN120&lt;(CN109+1),(CN109+1)-CN120," ")</f>
        <v>#REF!</v>
      </c>
      <c r="CM120" s="235"/>
      <c r="CN120" s="235" t="e">
        <f t="shared" si="16"/>
        <v>#REF!</v>
      </c>
      <c r="CO120" s="235"/>
      <c r="CP120" s="235" t="e">
        <f>CN120/((CN109+1)*(CN109/2))</f>
        <v>#REF!</v>
      </c>
      <c r="CQ120" s="235"/>
      <c r="CR120" s="235"/>
      <c r="CS120" s="305" t="e">
        <f>CP120*CR109</f>
        <v>#REF!</v>
      </c>
      <c r="CT120" s="306" t="e">
        <f ca="1">SUM(OFFSET(CS109,#REF!+48,0):OFFSET(CS109,(#REF!+60-1),0))</f>
        <v>#REF!</v>
      </c>
      <c r="CU120" s="305" t="e">
        <f>IF(CS120&gt;0,CJ109-CS120,0)</f>
        <v>#REF!</v>
      </c>
      <c r="CV120" s="307" t="e">
        <f ca="1">SUM(OFFSET(CU109,#REF!+48,0):OFFSET(CU109,(#REF!+60-1),0))</f>
        <v>#REF!</v>
      </c>
    </row>
    <row r="121" spans="6:100" ht="12.75" hidden="1">
      <c r="F121" s="384" t="e">
        <f>C121*#REF!</f>
        <v>#REF!</v>
      </c>
      <c r="I121" s="234">
        <f>IF((K109+1)-K121&lt;(K109+1),(K109+1)-K121," ")</f>
        <v>13</v>
      </c>
      <c r="J121" s="235"/>
      <c r="K121" s="235">
        <f t="shared" si="13"/>
        <v>12</v>
      </c>
      <c r="L121" s="235"/>
      <c r="M121" s="235"/>
      <c r="N121" s="235"/>
      <c r="O121" s="305" t="e">
        <f>#REF!*N109</f>
        <v>#REF!</v>
      </c>
      <c r="P121" s="309" t="s">
        <v>219</v>
      </c>
      <c r="Q121" s="305" t="e">
        <f>IF(O121&gt;0,G109-O121,0)</f>
        <v>#REF!</v>
      </c>
      <c r="R121" s="310" t="s">
        <v>219</v>
      </c>
      <c r="U121" s="234" t="str">
        <f>IF((W110+1)-W121&lt;(W110+1),(W110+1)-W121," ")</f>
        <v> </v>
      </c>
      <c r="V121" s="235"/>
      <c r="W121" s="235">
        <f t="shared" si="17"/>
        <v>0</v>
      </c>
      <c r="X121" s="235"/>
      <c r="Y121" s="235" t="e">
        <f>W121/((W110+1)*(W110/2))</f>
        <v>#DIV/0!</v>
      </c>
      <c r="Z121" s="235"/>
      <c r="AA121" s="235"/>
      <c r="AB121" s="305" t="e">
        <f>Y121*AA110</f>
        <v>#DIV/0!</v>
      </c>
      <c r="AC121" s="306" t="e">
        <f ca="1">SUM(OFFSET(AB110,W103+48,0):OFFSET(AB110,(W103+60-1),0))</f>
        <v>#DIV/0!</v>
      </c>
      <c r="AD121" s="305" t="e">
        <f>IF(AB121&gt;0,S110-AB121,0)</f>
        <v>#DIV/0!</v>
      </c>
      <c r="AE121" s="307" t="e">
        <f ca="1">SUM(OFFSET(AD110,W103+48,0):OFFSET(AD110,(W103+60-1),0))</f>
        <v>#DIV/0!</v>
      </c>
      <c r="AO121" s="234">
        <f>IF((AQ110+1)-AQ121&lt;(AQ110+1),(AQ110+1)-AQ121," ")</f>
        <v>12</v>
      </c>
      <c r="AP121" s="235"/>
      <c r="AQ121" s="235">
        <f t="shared" si="18"/>
        <v>13</v>
      </c>
      <c r="AR121" s="235"/>
      <c r="AS121" s="235">
        <f>AQ121/((AQ110+1)*(AQ110/2))</f>
        <v>0.043333333333333335</v>
      </c>
      <c r="AT121" s="235"/>
      <c r="AU121" s="235"/>
      <c r="AV121" s="305">
        <f>AS121*AU110</f>
        <v>0</v>
      </c>
      <c r="AW121" s="306">
        <f ca="1">SUM(OFFSET(AV110,AQ103+48,0):OFFSET(AV110,(AQ103+60-1),0))</f>
        <v>0</v>
      </c>
      <c r="AX121" s="305">
        <f>IF(AV121&gt;0,AM110-AV121,0)</f>
        <v>0</v>
      </c>
      <c r="AY121" s="307">
        <f ca="1">SUM(OFFSET(AX110,AQ103+48,0):OFFSET(AX110,(AQ103+60-1),0))</f>
        <v>0</v>
      </c>
      <c r="BJ121" s="234">
        <f>IF((BL109+1)-BL121&lt;(BL109+1),(BL109+1)-BL121," ")</f>
        <v>13</v>
      </c>
      <c r="BK121" s="235"/>
      <c r="BL121" s="235">
        <f t="shared" si="14"/>
        <v>12</v>
      </c>
      <c r="BM121" s="235"/>
      <c r="BN121" s="235">
        <f>BL121/((BL109+1)*(BL109/2))</f>
        <v>0.04</v>
      </c>
      <c r="BO121" s="235"/>
      <c r="BP121" s="235"/>
      <c r="BQ121" s="305">
        <f>BN121*BP109</f>
        <v>0</v>
      </c>
      <c r="BR121" s="309" t="s">
        <v>219</v>
      </c>
      <c r="BS121" s="305">
        <f>IF(BQ121&gt;0,BH109-BQ121,0)</f>
        <v>0</v>
      </c>
      <c r="BT121" s="310" t="s">
        <v>219</v>
      </c>
      <c r="BX121" s="234" t="e">
        <f>IF((BZ109+1)-BZ121&lt;(BZ109+1),(BZ109+1)-BZ121," ")</f>
        <v>#REF!</v>
      </c>
      <c r="BY121" s="235"/>
      <c r="BZ121" s="235" t="e">
        <f t="shared" si="15"/>
        <v>#REF!</v>
      </c>
      <c r="CA121" s="235"/>
      <c r="CB121" s="235" t="e">
        <f>BZ121/((BZ109+1)*(BZ109/2))</f>
        <v>#REF!</v>
      </c>
      <c r="CC121" s="235"/>
      <c r="CD121" s="235"/>
      <c r="CE121" s="305" t="e">
        <f>CB121*CD109</f>
        <v>#REF!</v>
      </c>
      <c r="CF121" s="309" t="s">
        <v>219</v>
      </c>
      <c r="CG121" s="305" t="e">
        <f>IF(CE121&gt;0,BV109-CE121,0)</f>
        <v>#REF!</v>
      </c>
      <c r="CH121" s="310" t="s">
        <v>219</v>
      </c>
      <c r="CL121" s="234" t="e">
        <f>IF((CN109+1)-CN121&lt;(CN109+1),(CN109+1)-CN121," ")</f>
        <v>#REF!</v>
      </c>
      <c r="CM121" s="235"/>
      <c r="CN121" s="235" t="e">
        <f t="shared" si="16"/>
        <v>#REF!</v>
      </c>
      <c r="CO121" s="235"/>
      <c r="CP121" s="235" t="e">
        <f>CN121/((CN109+1)*(CN109/2))</f>
        <v>#REF!</v>
      </c>
      <c r="CQ121" s="235"/>
      <c r="CR121" s="235"/>
      <c r="CS121" s="305" t="e">
        <f>CP121*CR109</f>
        <v>#REF!</v>
      </c>
      <c r="CT121" s="309" t="s">
        <v>219</v>
      </c>
      <c r="CU121" s="305" t="e">
        <f>IF(CS121&gt;0,CJ109-CS121,0)</f>
        <v>#REF!</v>
      </c>
      <c r="CV121" s="310" t="s">
        <v>219</v>
      </c>
    </row>
    <row r="122" spans="6:100" ht="12.75" hidden="1">
      <c r="F122" s="384" t="e">
        <f>C122*#REF!</f>
        <v>#REF!</v>
      </c>
      <c r="I122" s="234">
        <f>IF((K109+1)-K122&lt;(K109+1),(K109+1)-K122," ")</f>
        <v>14</v>
      </c>
      <c r="J122" s="235"/>
      <c r="K122" s="235">
        <f t="shared" si="13"/>
        <v>11</v>
      </c>
      <c r="L122" s="235"/>
      <c r="M122" s="235"/>
      <c r="N122" s="235"/>
      <c r="O122" s="305" t="e">
        <f>#REF!*N109</f>
        <v>#REF!</v>
      </c>
      <c r="P122" s="306">
        <f ca="1">SUM(OFFSET(O109,K103+60,0):OFFSET(O109,(K103+72-1),0))</f>
        <v>0</v>
      </c>
      <c r="Q122" s="305" t="e">
        <f>IF(O122&gt;0,G109-O122,0)</f>
        <v>#REF!</v>
      </c>
      <c r="R122" s="307">
        <f ca="1">SUM(OFFSET(Q109,K103+60,0):OFFSET(Q109,(K103+72-1),0))</f>
        <v>0</v>
      </c>
      <c r="U122" s="234" t="str">
        <f>IF((W110+1)-W122&lt;(W110+1),(W110+1)-W122," ")</f>
        <v> </v>
      </c>
      <c r="V122" s="235"/>
      <c r="W122" s="235">
        <f t="shared" si="17"/>
        <v>0</v>
      </c>
      <c r="X122" s="235"/>
      <c r="Y122" s="235" t="e">
        <f>W122/((W110+1)*(W110/2))</f>
        <v>#DIV/0!</v>
      </c>
      <c r="Z122" s="235"/>
      <c r="AA122" s="235"/>
      <c r="AB122" s="305" t="e">
        <f>Y122*AA110</f>
        <v>#DIV/0!</v>
      </c>
      <c r="AC122" s="309" t="s">
        <v>219</v>
      </c>
      <c r="AD122" s="305" t="e">
        <f>IF(AB122&gt;0,S110-AB122,0)</f>
        <v>#DIV/0!</v>
      </c>
      <c r="AE122" s="310" t="s">
        <v>219</v>
      </c>
      <c r="AO122" s="234">
        <f>IF((AQ110+1)-AQ122&lt;(AQ110+1),(AQ110+1)-AQ122," ")</f>
        <v>13</v>
      </c>
      <c r="AP122" s="235"/>
      <c r="AQ122" s="235">
        <f t="shared" si="18"/>
        <v>12</v>
      </c>
      <c r="AR122" s="235"/>
      <c r="AS122" s="235">
        <f>AQ122/((AQ110+1)*(AQ110/2))</f>
        <v>0.04</v>
      </c>
      <c r="AT122" s="235"/>
      <c r="AU122" s="235"/>
      <c r="AV122" s="305">
        <f>AS122*AU110</f>
        <v>0</v>
      </c>
      <c r="AW122" s="309" t="s">
        <v>219</v>
      </c>
      <c r="AX122" s="305">
        <f>IF(AV122&gt;0,AM110-AV122,0)</f>
        <v>0</v>
      </c>
      <c r="AY122" s="310" t="s">
        <v>219</v>
      </c>
      <c r="BJ122" s="234">
        <f>IF((BL109+1)-BL122&lt;(BL109+1),(BL109+1)-BL122," ")</f>
        <v>14</v>
      </c>
      <c r="BK122" s="235"/>
      <c r="BL122" s="235">
        <f t="shared" si="14"/>
        <v>11</v>
      </c>
      <c r="BM122" s="235"/>
      <c r="BN122" s="235">
        <f>BL122/((BL109+1)*(BL109/2))</f>
        <v>0.03666666666666667</v>
      </c>
      <c r="BO122" s="235"/>
      <c r="BP122" s="235"/>
      <c r="BQ122" s="305">
        <f>BN122*BP109</f>
        <v>0</v>
      </c>
      <c r="BR122" s="306">
        <f ca="1">SUM(OFFSET(BQ109,BL103+60,0):OFFSET(BQ109,(BL103+72-1),0))</f>
        <v>0</v>
      </c>
      <c r="BS122" s="305">
        <f>IF(BQ122&gt;0,BH109-BQ122,0)</f>
        <v>0</v>
      </c>
      <c r="BT122" s="307">
        <f ca="1">SUM(OFFSET(BS109,BL102+60,0):OFFSET(BS109,(BL102+72-1),0))</f>
        <v>0</v>
      </c>
      <c r="BX122" s="234" t="e">
        <f>IF((BZ109+1)-BZ122&lt;(BZ109+1),(BZ109+1)-BZ122," ")</f>
        <v>#REF!</v>
      </c>
      <c r="BY122" s="235"/>
      <c r="BZ122" s="235" t="e">
        <f t="shared" si="15"/>
        <v>#REF!</v>
      </c>
      <c r="CA122" s="235"/>
      <c r="CB122" s="235" t="e">
        <f>BZ122/((BZ109+1)*(BZ109/2))</f>
        <v>#REF!</v>
      </c>
      <c r="CC122" s="235"/>
      <c r="CD122" s="235"/>
      <c r="CE122" s="305" t="e">
        <f>CB122*CD109</f>
        <v>#REF!</v>
      </c>
      <c r="CF122" s="306" t="e">
        <f ca="1">SUM(OFFSET(CE109,#REF!+60,0):OFFSET(CE109,(#REF!+72-1),0))</f>
        <v>#REF!</v>
      </c>
      <c r="CG122" s="305" t="e">
        <f>IF(CE122&gt;0,BV109-CE122,0)</f>
        <v>#REF!</v>
      </c>
      <c r="CH122" s="307" t="e">
        <f ca="1">SUM(OFFSET(CG109,#REF!+60,0):OFFSET(CG109,(#REF!+72-1),0))</f>
        <v>#REF!</v>
      </c>
      <c r="CL122" s="234" t="e">
        <f>IF((CN109+1)-CN122&lt;(CN109+1),(CN109+1)-CN122," ")</f>
        <v>#REF!</v>
      </c>
      <c r="CM122" s="235"/>
      <c r="CN122" s="235" t="e">
        <f t="shared" si="16"/>
        <v>#REF!</v>
      </c>
      <c r="CO122" s="235"/>
      <c r="CP122" s="235" t="e">
        <f>CN122/((CN109+1)*(CN109/2))</f>
        <v>#REF!</v>
      </c>
      <c r="CQ122" s="235"/>
      <c r="CR122" s="235"/>
      <c r="CS122" s="305" t="e">
        <f>CP122*CR109</f>
        <v>#REF!</v>
      </c>
      <c r="CT122" s="306" t="e">
        <f ca="1">SUM(OFFSET(CS109,#REF!+60,0):OFFSET(CS109,(#REF!+72-1),0))</f>
        <v>#REF!</v>
      </c>
      <c r="CU122" s="305" t="e">
        <f>IF(CS122&gt;0,CJ109-CS122,0)</f>
        <v>#REF!</v>
      </c>
      <c r="CV122" s="307" t="e">
        <f ca="1">SUM(OFFSET(CU109,#REF!+60,0):OFFSET(CU109,(#REF!+72-1),0))</f>
        <v>#REF!</v>
      </c>
    </row>
    <row r="123" spans="6:100" ht="12.75" hidden="1">
      <c r="F123" s="384" t="e">
        <f>C123*#REF!</f>
        <v>#REF!</v>
      </c>
      <c r="I123" s="234">
        <f>IF((K109+1)-K123&lt;(K109+1),(K109+1)-K123," ")</f>
        <v>15</v>
      </c>
      <c r="J123" s="235"/>
      <c r="K123" s="235">
        <f t="shared" si="13"/>
        <v>10</v>
      </c>
      <c r="L123" s="235"/>
      <c r="M123" s="235"/>
      <c r="N123" s="235"/>
      <c r="O123" s="305" t="e">
        <f>#REF!*N109</f>
        <v>#REF!</v>
      </c>
      <c r="P123" s="305"/>
      <c r="Q123" s="305" t="e">
        <f>IF(O123&gt;0,G109-O123,0)</f>
        <v>#REF!</v>
      </c>
      <c r="R123" s="226"/>
      <c r="U123" s="234" t="str">
        <f>IF((W110+1)-W123&lt;(W110+1),(W110+1)-W123," ")</f>
        <v> </v>
      </c>
      <c r="V123" s="235"/>
      <c r="W123" s="235">
        <f t="shared" si="17"/>
        <v>0</v>
      </c>
      <c r="X123" s="235"/>
      <c r="Y123" s="235" t="e">
        <f>W123/((W110+1)*(W110/2))</f>
        <v>#DIV/0!</v>
      </c>
      <c r="Z123" s="235"/>
      <c r="AA123" s="235"/>
      <c r="AB123" s="305" t="e">
        <f>Y123*AA110</f>
        <v>#DIV/0!</v>
      </c>
      <c r="AC123" s="306" t="e">
        <f ca="1">SUM(OFFSET(AB110,W103+60,0):OFFSET(AB110,(W103+72-1),0))</f>
        <v>#DIV/0!</v>
      </c>
      <c r="AD123" s="305" t="e">
        <f>IF(AB123&gt;0,S110-AB123,0)</f>
        <v>#DIV/0!</v>
      </c>
      <c r="AE123" s="307" t="e">
        <f ca="1">SUM(OFFSET(AD110,W103+60,0):OFFSET(AD110,(W103+72-1),0))</f>
        <v>#DIV/0!</v>
      </c>
      <c r="AO123" s="234">
        <f>IF((AQ110+1)-AQ123&lt;(AQ110+1),(AQ110+1)-AQ123," ")</f>
        <v>14</v>
      </c>
      <c r="AP123" s="235"/>
      <c r="AQ123" s="235">
        <f t="shared" si="18"/>
        <v>11</v>
      </c>
      <c r="AR123" s="235"/>
      <c r="AS123" s="235">
        <f>AQ123/((AQ110+1)*(AQ110/2))</f>
        <v>0.03666666666666667</v>
      </c>
      <c r="AT123" s="235"/>
      <c r="AU123" s="235"/>
      <c r="AV123" s="305">
        <f>AS123*AU110</f>
        <v>0</v>
      </c>
      <c r="AW123" s="306">
        <f ca="1">SUM(OFFSET(AV110,AQ103+60,0):OFFSET(AV110,(AQ103+72-1),0))</f>
        <v>0</v>
      </c>
      <c r="AX123" s="305">
        <f>IF(AV123&gt;0,AM110-AV123,0)</f>
        <v>0</v>
      </c>
      <c r="AY123" s="307">
        <f ca="1">SUM(OFFSET(AX110,AQ103+60,0):OFFSET(AX110,(AQ103+72-1),0))</f>
        <v>0</v>
      </c>
      <c r="BJ123" s="234">
        <f>IF((BL109+1)-BL123&lt;(BL109+1),(BL109+1)-BL123," ")</f>
        <v>15</v>
      </c>
      <c r="BK123" s="235"/>
      <c r="BL123" s="235">
        <f t="shared" si="14"/>
        <v>10</v>
      </c>
      <c r="BM123" s="235"/>
      <c r="BN123" s="235">
        <f>BL123/((BL109+1)*(BL109/2))</f>
        <v>0.03333333333333333</v>
      </c>
      <c r="BO123" s="235"/>
      <c r="BP123" s="235"/>
      <c r="BQ123" s="305">
        <f>BN123*BP109</f>
        <v>0</v>
      </c>
      <c r="BR123" s="305"/>
      <c r="BS123" s="305">
        <f>IF(BQ123&gt;0,BH109-BQ123,0)</f>
        <v>0</v>
      </c>
      <c r="BT123" s="226"/>
      <c r="BX123" s="234" t="e">
        <f>IF((BZ109+1)-BZ123&lt;(BZ109+1),(BZ109+1)-BZ123," ")</f>
        <v>#REF!</v>
      </c>
      <c r="BY123" s="235"/>
      <c r="BZ123" s="235" t="e">
        <f t="shared" si="15"/>
        <v>#REF!</v>
      </c>
      <c r="CA123" s="235"/>
      <c r="CB123" s="235" t="e">
        <f>BZ123/((BZ109+1)*(BZ109/2))</f>
        <v>#REF!</v>
      </c>
      <c r="CC123" s="235"/>
      <c r="CD123" s="235"/>
      <c r="CE123" s="305" t="e">
        <f>CB123*CD109</f>
        <v>#REF!</v>
      </c>
      <c r="CF123" s="305"/>
      <c r="CG123" s="305" t="e">
        <f>IF(CE123&gt;0,BV109-CE123,0)</f>
        <v>#REF!</v>
      </c>
      <c r="CH123" s="226"/>
      <c r="CL123" s="234" t="e">
        <f>IF((CN109+1)-CN123&lt;(CN109+1),(CN109+1)-CN123," ")</f>
        <v>#REF!</v>
      </c>
      <c r="CM123" s="235"/>
      <c r="CN123" s="235" t="e">
        <f t="shared" si="16"/>
        <v>#REF!</v>
      </c>
      <c r="CO123" s="235"/>
      <c r="CP123" s="235" t="e">
        <f>CN123/((CN109+1)*(CN109/2))</f>
        <v>#REF!</v>
      </c>
      <c r="CQ123" s="235"/>
      <c r="CR123" s="235"/>
      <c r="CS123" s="305" t="e">
        <f>CP123*CR109</f>
        <v>#REF!</v>
      </c>
      <c r="CT123" s="305"/>
      <c r="CU123" s="305" t="e">
        <f>IF(CS123&gt;0,CJ109-CS123,0)</f>
        <v>#REF!</v>
      </c>
      <c r="CV123" s="226"/>
    </row>
    <row r="124" spans="6:100" ht="12.75" hidden="1">
      <c r="F124" s="384" t="e">
        <f>C124*#REF!</f>
        <v>#REF!</v>
      </c>
      <c r="I124" s="234">
        <f>IF((K109+1)-K124&lt;(K109+1),(K109+1)-K124," ")</f>
        <v>16</v>
      </c>
      <c r="J124" s="235"/>
      <c r="K124" s="235">
        <f t="shared" si="13"/>
        <v>9</v>
      </c>
      <c r="L124" s="235"/>
      <c r="M124" s="235"/>
      <c r="N124" s="235"/>
      <c r="O124" s="305" t="e">
        <f>#REF!*N109</f>
        <v>#REF!</v>
      </c>
      <c r="P124" s="305"/>
      <c r="Q124" s="305" t="e">
        <f>IF(O124&gt;0,G109-O124,0)</f>
        <v>#REF!</v>
      </c>
      <c r="R124" s="226"/>
      <c r="U124" s="234" t="str">
        <f>IF((W110+1)-W124&lt;(W110+1),(W110+1)-W124," ")</f>
        <v> </v>
      </c>
      <c r="V124" s="235"/>
      <c r="W124" s="235">
        <f t="shared" si="17"/>
        <v>0</v>
      </c>
      <c r="X124" s="235"/>
      <c r="Y124" s="235" t="e">
        <f>W124/((W110+1)*(W110/2))</f>
        <v>#DIV/0!</v>
      </c>
      <c r="Z124" s="235"/>
      <c r="AA124" s="235"/>
      <c r="AB124" s="305" t="e">
        <f>Y124*AA110</f>
        <v>#DIV/0!</v>
      </c>
      <c r="AC124" s="305"/>
      <c r="AD124" s="305" t="e">
        <f>IF(AB124&gt;0,S110-AB124,0)</f>
        <v>#DIV/0!</v>
      </c>
      <c r="AE124" s="226"/>
      <c r="AO124" s="234">
        <f>IF((AQ110+1)-AQ124&lt;(AQ110+1),(AQ110+1)-AQ124," ")</f>
        <v>15</v>
      </c>
      <c r="AP124" s="235"/>
      <c r="AQ124" s="235">
        <f t="shared" si="18"/>
        <v>10</v>
      </c>
      <c r="AR124" s="235"/>
      <c r="AS124" s="235">
        <f>AQ124/((AQ110+1)*(AQ110/2))</f>
        <v>0.03333333333333333</v>
      </c>
      <c r="AT124" s="235"/>
      <c r="AU124" s="235"/>
      <c r="AV124" s="305">
        <f>AS124*AU110</f>
        <v>0</v>
      </c>
      <c r="AW124" s="305"/>
      <c r="AX124" s="305">
        <f>IF(AV124&gt;0,AM110-AV124,0)</f>
        <v>0</v>
      </c>
      <c r="AY124" s="226"/>
      <c r="BJ124" s="234">
        <f>IF((BL109+1)-BL124&lt;(BL109+1),(BL109+1)-BL124," ")</f>
        <v>16</v>
      </c>
      <c r="BK124" s="235"/>
      <c r="BL124" s="235">
        <f t="shared" si="14"/>
        <v>9</v>
      </c>
      <c r="BM124" s="235"/>
      <c r="BN124" s="235">
        <f>BL124/((BL109+1)*(BL109/2))</f>
        <v>0.03</v>
      </c>
      <c r="BO124" s="235"/>
      <c r="BP124" s="235"/>
      <c r="BQ124" s="305">
        <f>BN124*BP109</f>
        <v>0</v>
      </c>
      <c r="BR124" s="305"/>
      <c r="BS124" s="305">
        <f>IF(BQ124&gt;0,BH109-BQ124,0)</f>
        <v>0</v>
      </c>
      <c r="BT124" s="226"/>
      <c r="BX124" s="234" t="e">
        <f>IF((BZ109+1)-BZ124&lt;(BZ109+1),(BZ109+1)-BZ124," ")</f>
        <v>#REF!</v>
      </c>
      <c r="BY124" s="235"/>
      <c r="BZ124" s="235" t="e">
        <f t="shared" si="15"/>
        <v>#REF!</v>
      </c>
      <c r="CA124" s="235"/>
      <c r="CB124" s="235" t="e">
        <f>BZ124/((BZ109+1)*(BZ109/2))</f>
        <v>#REF!</v>
      </c>
      <c r="CC124" s="235"/>
      <c r="CD124" s="235"/>
      <c r="CE124" s="305" t="e">
        <f>CB124*CD109</f>
        <v>#REF!</v>
      </c>
      <c r="CF124" s="305"/>
      <c r="CG124" s="305" t="e">
        <f>IF(CE124&gt;0,BV109-CE124,0)</f>
        <v>#REF!</v>
      </c>
      <c r="CH124" s="226"/>
      <c r="CL124" s="234" t="e">
        <f>IF((CN109+1)-CN124&lt;(CN109+1),(CN109+1)-CN124," ")</f>
        <v>#REF!</v>
      </c>
      <c r="CM124" s="235"/>
      <c r="CN124" s="235" t="e">
        <f t="shared" si="16"/>
        <v>#REF!</v>
      </c>
      <c r="CO124" s="235"/>
      <c r="CP124" s="235" t="e">
        <f>CN124/((CN109+1)*(CN109/2))</f>
        <v>#REF!</v>
      </c>
      <c r="CQ124" s="235"/>
      <c r="CR124" s="235"/>
      <c r="CS124" s="305" t="e">
        <f>CP124*CR109</f>
        <v>#REF!</v>
      </c>
      <c r="CT124" s="305"/>
      <c r="CU124" s="305" t="e">
        <f>IF(CS124&gt;0,CJ109-CS124,0)</f>
        <v>#REF!</v>
      </c>
      <c r="CV124" s="226"/>
    </row>
    <row r="125" spans="6:100" ht="12.75" hidden="1">
      <c r="F125" s="384" t="e">
        <f>C125*#REF!</f>
        <v>#REF!</v>
      </c>
      <c r="I125" s="234">
        <f>IF((K109+1)-K125&lt;(K109+1),(K109+1)-K125," ")</f>
        <v>17</v>
      </c>
      <c r="J125" s="235"/>
      <c r="K125" s="235">
        <f t="shared" si="13"/>
        <v>8</v>
      </c>
      <c r="L125" s="235"/>
      <c r="M125" s="235"/>
      <c r="N125" s="235"/>
      <c r="O125" s="305" t="e">
        <f>#REF!*N109</f>
        <v>#REF!</v>
      </c>
      <c r="P125" s="305"/>
      <c r="Q125" s="305" t="e">
        <f>IF(O125&gt;0,G109-O125,0)</f>
        <v>#REF!</v>
      </c>
      <c r="R125" s="226"/>
      <c r="U125" s="234" t="str">
        <f>IF((W110+1)-W125&lt;(W110+1),(W110+1)-W125," ")</f>
        <v> </v>
      </c>
      <c r="V125" s="235"/>
      <c r="W125" s="235">
        <f t="shared" si="17"/>
        <v>0</v>
      </c>
      <c r="X125" s="235"/>
      <c r="Y125" s="235" t="e">
        <f>W125/((W110+1)*(W110/2))</f>
        <v>#DIV/0!</v>
      </c>
      <c r="Z125" s="235"/>
      <c r="AA125" s="235"/>
      <c r="AB125" s="305" t="e">
        <f>Y125*AA110</f>
        <v>#DIV/0!</v>
      </c>
      <c r="AC125" s="305"/>
      <c r="AD125" s="305" t="e">
        <f>IF(AB125&gt;0,S110-AB125,0)</f>
        <v>#DIV/0!</v>
      </c>
      <c r="AE125" s="226"/>
      <c r="AO125" s="234">
        <f>IF((AQ110+1)-AQ125&lt;(AQ110+1),(AQ110+1)-AQ125," ")</f>
        <v>16</v>
      </c>
      <c r="AP125" s="235"/>
      <c r="AQ125" s="235">
        <f t="shared" si="18"/>
        <v>9</v>
      </c>
      <c r="AR125" s="235"/>
      <c r="AS125" s="235">
        <f>AQ125/((AQ110+1)*(AQ110/2))</f>
        <v>0.03</v>
      </c>
      <c r="AT125" s="235"/>
      <c r="AU125" s="235"/>
      <c r="AV125" s="305">
        <f>AS125*AU110</f>
        <v>0</v>
      </c>
      <c r="AW125" s="305"/>
      <c r="AX125" s="305">
        <f>IF(AV125&gt;0,AM110-AV125,0)</f>
        <v>0</v>
      </c>
      <c r="AY125" s="226"/>
      <c r="BJ125" s="234">
        <f>IF((BL109+1)-BL125&lt;(BL109+1),(BL109+1)-BL125," ")</f>
        <v>17</v>
      </c>
      <c r="BK125" s="235"/>
      <c r="BL125" s="235">
        <f t="shared" si="14"/>
        <v>8</v>
      </c>
      <c r="BM125" s="235"/>
      <c r="BN125" s="235">
        <f>BL125/((BL109+1)*(BL109/2))</f>
        <v>0.02666666666666667</v>
      </c>
      <c r="BO125" s="235"/>
      <c r="BP125" s="235"/>
      <c r="BQ125" s="305">
        <f>BN125*BP109</f>
        <v>0</v>
      </c>
      <c r="BR125" s="305"/>
      <c r="BS125" s="305">
        <f>IF(BQ125&gt;0,BH109-BQ125,0)</f>
        <v>0</v>
      </c>
      <c r="BT125" s="226"/>
      <c r="BX125" s="234" t="e">
        <f>IF((BZ109+1)-BZ125&lt;(BZ109+1),(BZ109+1)-BZ125," ")</f>
        <v>#REF!</v>
      </c>
      <c r="BY125" s="235"/>
      <c r="BZ125" s="235" t="e">
        <f t="shared" si="15"/>
        <v>#REF!</v>
      </c>
      <c r="CA125" s="235"/>
      <c r="CB125" s="235" t="e">
        <f>BZ125/((BZ109+1)*(BZ109/2))</f>
        <v>#REF!</v>
      </c>
      <c r="CC125" s="235"/>
      <c r="CD125" s="235"/>
      <c r="CE125" s="305" t="e">
        <f>CB125*CD109</f>
        <v>#REF!</v>
      </c>
      <c r="CF125" s="305"/>
      <c r="CG125" s="305" t="e">
        <f>IF(CE125&gt;0,BV109-CE125,0)</f>
        <v>#REF!</v>
      </c>
      <c r="CH125" s="226"/>
      <c r="CL125" s="234" t="e">
        <f>IF((CN109+1)-CN125&lt;(CN109+1),(CN109+1)-CN125," ")</f>
        <v>#REF!</v>
      </c>
      <c r="CM125" s="235"/>
      <c r="CN125" s="235" t="e">
        <f t="shared" si="16"/>
        <v>#REF!</v>
      </c>
      <c r="CO125" s="235"/>
      <c r="CP125" s="235" t="e">
        <f>CN125/((CN109+1)*(CN109/2))</f>
        <v>#REF!</v>
      </c>
      <c r="CQ125" s="235"/>
      <c r="CR125" s="235"/>
      <c r="CS125" s="305" t="e">
        <f>CP125*CR109</f>
        <v>#REF!</v>
      </c>
      <c r="CT125" s="305"/>
      <c r="CU125" s="305" t="e">
        <f>IF(CS125&gt;0,CJ109-CS125,0)</f>
        <v>#REF!</v>
      </c>
      <c r="CV125" s="226"/>
    </row>
    <row r="126" spans="6:100" ht="12.75" hidden="1">
      <c r="F126" s="384" t="e">
        <f>C126*#REF!</f>
        <v>#REF!</v>
      </c>
      <c r="I126" s="234">
        <f>IF((K109+1)-K126&lt;(K109+1),(K109+1)-K126," ")</f>
        <v>18</v>
      </c>
      <c r="J126" s="235"/>
      <c r="K126" s="235">
        <f t="shared" si="13"/>
        <v>7</v>
      </c>
      <c r="L126" s="235"/>
      <c r="M126" s="235"/>
      <c r="N126" s="235"/>
      <c r="O126" s="305" t="e">
        <f>#REF!*N109</f>
        <v>#REF!</v>
      </c>
      <c r="P126" s="305"/>
      <c r="Q126" s="305" t="e">
        <f>IF(O126&gt;0,G109-O126,0)</f>
        <v>#REF!</v>
      </c>
      <c r="R126" s="226"/>
      <c r="U126" s="234" t="str">
        <f>IF((W110+1)-W126&lt;(W110+1),(W110+1)-W126," ")</f>
        <v> </v>
      </c>
      <c r="V126" s="235"/>
      <c r="W126" s="235">
        <f t="shared" si="17"/>
        <v>0</v>
      </c>
      <c r="X126" s="235"/>
      <c r="Y126" s="235" t="e">
        <f>W126/((W110+1)*(W110/2))</f>
        <v>#DIV/0!</v>
      </c>
      <c r="Z126" s="235"/>
      <c r="AA126" s="235"/>
      <c r="AB126" s="305" t="e">
        <f>Y126*AA110</f>
        <v>#DIV/0!</v>
      </c>
      <c r="AC126" s="305"/>
      <c r="AD126" s="305" t="e">
        <f>IF(AB126&gt;0,S110-AB126,0)</f>
        <v>#DIV/0!</v>
      </c>
      <c r="AE126" s="226"/>
      <c r="AO126" s="234">
        <f>IF((AQ110+1)-AQ126&lt;(AQ110+1),(AQ110+1)-AQ126," ")</f>
        <v>17</v>
      </c>
      <c r="AP126" s="235"/>
      <c r="AQ126" s="235">
        <f t="shared" si="18"/>
        <v>8</v>
      </c>
      <c r="AR126" s="235"/>
      <c r="AS126" s="235">
        <f>AQ126/((AQ110+1)*(AQ110/2))</f>
        <v>0.02666666666666667</v>
      </c>
      <c r="AT126" s="235"/>
      <c r="AU126" s="235"/>
      <c r="AV126" s="305">
        <f>AS126*AU110</f>
        <v>0</v>
      </c>
      <c r="AW126" s="305"/>
      <c r="AX126" s="305">
        <f>IF(AV126&gt;0,AM110-AV126,0)</f>
        <v>0</v>
      </c>
      <c r="AY126" s="226"/>
      <c r="BJ126" s="234">
        <f>IF((BL109+1)-BL126&lt;(BL109+1),(BL109+1)-BL126," ")</f>
        <v>18</v>
      </c>
      <c r="BK126" s="235"/>
      <c r="BL126" s="235">
        <f t="shared" si="14"/>
        <v>7</v>
      </c>
      <c r="BM126" s="235"/>
      <c r="BN126" s="235">
        <f>BL126/((BL109+1)*(BL109/2))</f>
        <v>0.023333333333333334</v>
      </c>
      <c r="BO126" s="235"/>
      <c r="BP126" s="235"/>
      <c r="BQ126" s="305">
        <f>BN126*BP109</f>
        <v>0</v>
      </c>
      <c r="BR126" s="305"/>
      <c r="BS126" s="305">
        <f>IF(BQ126&gt;0,BH109-BQ126,0)</f>
        <v>0</v>
      </c>
      <c r="BT126" s="226"/>
      <c r="BX126" s="234" t="e">
        <f>IF((BZ109+1)-BZ126&lt;(BZ109+1),(BZ109+1)-BZ126," ")</f>
        <v>#REF!</v>
      </c>
      <c r="BY126" s="235"/>
      <c r="BZ126" s="235" t="e">
        <f t="shared" si="15"/>
        <v>#REF!</v>
      </c>
      <c r="CA126" s="235"/>
      <c r="CB126" s="235" t="e">
        <f>BZ126/((BZ109+1)*(BZ109/2))</f>
        <v>#REF!</v>
      </c>
      <c r="CC126" s="235"/>
      <c r="CD126" s="235"/>
      <c r="CE126" s="305" t="e">
        <f>CB126*CD109</f>
        <v>#REF!</v>
      </c>
      <c r="CF126" s="305"/>
      <c r="CG126" s="305" t="e">
        <f>IF(CE126&gt;0,BV109-CE126,0)</f>
        <v>#REF!</v>
      </c>
      <c r="CH126" s="226"/>
      <c r="CL126" s="234" t="e">
        <f>IF((CN109+1)-CN126&lt;(CN109+1),(CN109+1)-CN126," ")</f>
        <v>#REF!</v>
      </c>
      <c r="CM126" s="235"/>
      <c r="CN126" s="235" t="e">
        <f t="shared" si="16"/>
        <v>#REF!</v>
      </c>
      <c r="CO126" s="235"/>
      <c r="CP126" s="235" t="e">
        <f>CN126/((CN109+1)*(CN109/2))</f>
        <v>#REF!</v>
      </c>
      <c r="CQ126" s="235"/>
      <c r="CR126" s="235"/>
      <c r="CS126" s="305" t="e">
        <f>CP126*CR109</f>
        <v>#REF!</v>
      </c>
      <c r="CT126" s="305"/>
      <c r="CU126" s="305" t="e">
        <f>IF(CS126&gt;0,CJ109-CS126,0)</f>
        <v>#REF!</v>
      </c>
      <c r="CV126" s="226"/>
    </row>
    <row r="127" spans="6:100" ht="12.75" hidden="1">
      <c r="F127" s="384" t="e">
        <f>C127*#REF!</f>
        <v>#REF!</v>
      </c>
      <c r="I127" s="234">
        <f>IF((K109+1)-K127&lt;(K109+1),(K109+1)-K127," ")</f>
        <v>19</v>
      </c>
      <c r="J127" s="235"/>
      <c r="K127" s="235">
        <f t="shared" si="13"/>
        <v>6</v>
      </c>
      <c r="L127" s="235"/>
      <c r="M127" s="235"/>
      <c r="N127" s="235"/>
      <c r="O127" s="305" t="e">
        <f>#REF!*N109</f>
        <v>#REF!</v>
      </c>
      <c r="P127" s="305"/>
      <c r="Q127" s="305" t="e">
        <f>IF(O127&gt;0,G109-O127,0)</f>
        <v>#REF!</v>
      </c>
      <c r="R127" s="226"/>
      <c r="U127" s="234" t="str">
        <f>IF((W110+1)-W127&lt;(W110+1),(W110+1)-W127," ")</f>
        <v> </v>
      </c>
      <c r="V127" s="235"/>
      <c r="W127" s="235">
        <f t="shared" si="17"/>
        <v>0</v>
      </c>
      <c r="X127" s="235"/>
      <c r="Y127" s="235" t="e">
        <f>W127/((W110+1)*(W110/2))</f>
        <v>#DIV/0!</v>
      </c>
      <c r="Z127" s="235"/>
      <c r="AA127" s="235"/>
      <c r="AB127" s="305" t="e">
        <f>Y127*AA110</f>
        <v>#DIV/0!</v>
      </c>
      <c r="AC127" s="305"/>
      <c r="AD127" s="305" t="e">
        <f>IF(AB127&gt;0,S110-AB127,0)</f>
        <v>#DIV/0!</v>
      </c>
      <c r="AE127" s="226"/>
      <c r="AO127" s="234">
        <f>IF((AQ110+1)-AQ127&lt;(AQ110+1),(AQ110+1)-AQ127," ")</f>
        <v>18</v>
      </c>
      <c r="AP127" s="235"/>
      <c r="AQ127" s="235">
        <f t="shared" si="18"/>
        <v>7</v>
      </c>
      <c r="AR127" s="235"/>
      <c r="AS127" s="235">
        <f>AQ127/((AQ110+1)*(AQ110/2))</f>
        <v>0.023333333333333334</v>
      </c>
      <c r="AT127" s="235"/>
      <c r="AU127" s="235"/>
      <c r="AV127" s="305">
        <f>AS127*AU110</f>
        <v>0</v>
      </c>
      <c r="AW127" s="305"/>
      <c r="AX127" s="305">
        <f>IF(AV127&gt;0,AM110-AV127,0)</f>
        <v>0</v>
      </c>
      <c r="AY127" s="226"/>
      <c r="BJ127" s="234">
        <f>IF((BL109+1)-BL127&lt;(BL109+1),(BL109+1)-BL127," ")</f>
        <v>19</v>
      </c>
      <c r="BK127" s="235"/>
      <c r="BL127" s="235">
        <f t="shared" si="14"/>
        <v>6</v>
      </c>
      <c r="BM127" s="235"/>
      <c r="BN127" s="235">
        <f>BL127/((BL109+1)*(BL109/2))</f>
        <v>0.02</v>
      </c>
      <c r="BO127" s="235"/>
      <c r="BP127" s="235"/>
      <c r="BQ127" s="305">
        <f>BN127*BP109</f>
        <v>0</v>
      </c>
      <c r="BR127" s="305"/>
      <c r="BS127" s="305">
        <f>IF(BQ127&gt;0,BH109-BQ127,0)</f>
        <v>0</v>
      </c>
      <c r="BT127" s="226"/>
      <c r="BX127" s="234" t="e">
        <f>IF((BZ109+1)-BZ127&lt;(BZ109+1),(BZ109+1)-BZ127," ")</f>
        <v>#REF!</v>
      </c>
      <c r="BY127" s="235"/>
      <c r="BZ127" s="235" t="e">
        <f t="shared" si="15"/>
        <v>#REF!</v>
      </c>
      <c r="CA127" s="235"/>
      <c r="CB127" s="235" t="e">
        <f>BZ127/((BZ109+1)*(BZ109/2))</f>
        <v>#REF!</v>
      </c>
      <c r="CC127" s="235"/>
      <c r="CD127" s="235"/>
      <c r="CE127" s="305" t="e">
        <f>CB127*CD109</f>
        <v>#REF!</v>
      </c>
      <c r="CF127" s="305"/>
      <c r="CG127" s="305" t="e">
        <f>IF(CE127&gt;0,BV109-CE127,0)</f>
        <v>#REF!</v>
      </c>
      <c r="CH127" s="226"/>
      <c r="CL127" s="234" t="e">
        <f>IF((CN109+1)-CN127&lt;(CN109+1),(CN109+1)-CN127," ")</f>
        <v>#REF!</v>
      </c>
      <c r="CM127" s="235"/>
      <c r="CN127" s="235" t="e">
        <f t="shared" si="16"/>
        <v>#REF!</v>
      </c>
      <c r="CO127" s="235"/>
      <c r="CP127" s="235" t="e">
        <f>CN127/((CN109+1)*(CN109/2))</f>
        <v>#REF!</v>
      </c>
      <c r="CQ127" s="235"/>
      <c r="CR127" s="235"/>
      <c r="CS127" s="305" t="e">
        <f>CP127*CR109</f>
        <v>#REF!</v>
      </c>
      <c r="CT127" s="305"/>
      <c r="CU127" s="305" t="e">
        <f>IF(CS127&gt;0,CJ109-CS127,0)</f>
        <v>#REF!</v>
      </c>
      <c r="CV127" s="226"/>
    </row>
    <row r="128" spans="6:100" ht="12.75" hidden="1">
      <c r="F128" s="384" t="e">
        <f>C128*#REF!</f>
        <v>#REF!</v>
      </c>
      <c r="I128" s="234">
        <f>IF((K109+1)-K128&lt;(K109+1),(K109+1)-K128," ")</f>
        <v>20</v>
      </c>
      <c r="J128" s="235"/>
      <c r="K128" s="235">
        <f t="shared" si="13"/>
        <v>5</v>
      </c>
      <c r="L128" s="235"/>
      <c r="M128" s="235"/>
      <c r="N128" s="235"/>
      <c r="O128" s="305" t="e">
        <f>#REF!*N109</f>
        <v>#REF!</v>
      </c>
      <c r="P128" s="305"/>
      <c r="Q128" s="305" t="e">
        <f>IF(O128&gt;0,G109-O128,0)</f>
        <v>#REF!</v>
      </c>
      <c r="R128" s="226"/>
      <c r="U128" s="234" t="str">
        <f>IF((W110+1)-W128&lt;(W110+1),(W110+1)-W128," ")</f>
        <v> </v>
      </c>
      <c r="V128" s="235"/>
      <c r="W128" s="235">
        <f t="shared" si="17"/>
        <v>0</v>
      </c>
      <c r="X128" s="235"/>
      <c r="Y128" s="235" t="e">
        <f>W128/((W110+1)*(W110/2))</f>
        <v>#DIV/0!</v>
      </c>
      <c r="Z128" s="235"/>
      <c r="AA128" s="235"/>
      <c r="AB128" s="305" t="e">
        <f>Y128*AA110</f>
        <v>#DIV/0!</v>
      </c>
      <c r="AC128" s="305"/>
      <c r="AD128" s="305" t="e">
        <f>IF(AB128&gt;0,S110-AB128,0)</f>
        <v>#DIV/0!</v>
      </c>
      <c r="AE128" s="226"/>
      <c r="AO128" s="234">
        <f>IF((AQ110+1)-AQ128&lt;(AQ110+1),(AQ110+1)-AQ128," ")</f>
        <v>19</v>
      </c>
      <c r="AP128" s="235"/>
      <c r="AQ128" s="235">
        <f t="shared" si="18"/>
        <v>6</v>
      </c>
      <c r="AR128" s="235"/>
      <c r="AS128" s="235">
        <f>AQ128/((AQ110+1)*(AQ110/2))</f>
        <v>0.02</v>
      </c>
      <c r="AT128" s="235"/>
      <c r="AU128" s="235"/>
      <c r="AV128" s="305">
        <f>AS128*AU110</f>
        <v>0</v>
      </c>
      <c r="AW128" s="305"/>
      <c r="AX128" s="305">
        <f>IF(AV128&gt;0,AM110-AV128,0)</f>
        <v>0</v>
      </c>
      <c r="AY128" s="226"/>
      <c r="BJ128" s="234">
        <f>IF((BL109+1)-BL128&lt;(BL109+1),(BL109+1)-BL128," ")</f>
        <v>20</v>
      </c>
      <c r="BK128" s="235"/>
      <c r="BL128" s="235">
        <f t="shared" si="14"/>
        <v>5</v>
      </c>
      <c r="BM128" s="235"/>
      <c r="BN128" s="235">
        <f>BL128/((BL109+1)*(BL109/2))</f>
        <v>0.016666666666666666</v>
      </c>
      <c r="BO128" s="235"/>
      <c r="BP128" s="235"/>
      <c r="BQ128" s="305">
        <f>BN128*BP109</f>
        <v>0</v>
      </c>
      <c r="BR128" s="305"/>
      <c r="BS128" s="305">
        <f>IF(BQ128&gt;0,BH109-BQ128,0)</f>
        <v>0</v>
      </c>
      <c r="BT128" s="226"/>
      <c r="BX128" s="234" t="e">
        <f>IF((BZ109+1)-BZ128&lt;(BZ109+1),(BZ109+1)-BZ128," ")</f>
        <v>#REF!</v>
      </c>
      <c r="BY128" s="235"/>
      <c r="BZ128" s="235" t="e">
        <f t="shared" si="15"/>
        <v>#REF!</v>
      </c>
      <c r="CA128" s="235"/>
      <c r="CB128" s="235" t="e">
        <f>BZ128/((BZ109+1)*(BZ109/2))</f>
        <v>#REF!</v>
      </c>
      <c r="CC128" s="235"/>
      <c r="CD128" s="235"/>
      <c r="CE128" s="305" t="e">
        <f>CB128*CD109</f>
        <v>#REF!</v>
      </c>
      <c r="CF128" s="305"/>
      <c r="CG128" s="305" t="e">
        <f>IF(CE128&gt;0,BV109-CE128,0)</f>
        <v>#REF!</v>
      </c>
      <c r="CH128" s="226"/>
      <c r="CL128" s="234" t="e">
        <f>IF((CN109+1)-CN128&lt;(CN109+1),(CN109+1)-CN128," ")</f>
        <v>#REF!</v>
      </c>
      <c r="CM128" s="235"/>
      <c r="CN128" s="235" t="e">
        <f t="shared" si="16"/>
        <v>#REF!</v>
      </c>
      <c r="CO128" s="235"/>
      <c r="CP128" s="235" t="e">
        <f>CN128/((CN109+1)*(CN109/2))</f>
        <v>#REF!</v>
      </c>
      <c r="CQ128" s="235"/>
      <c r="CR128" s="235"/>
      <c r="CS128" s="305" t="e">
        <f>CP128*CR109</f>
        <v>#REF!</v>
      </c>
      <c r="CT128" s="305"/>
      <c r="CU128" s="305" t="e">
        <f>IF(CS128&gt;0,CJ109-CS128,0)</f>
        <v>#REF!</v>
      </c>
      <c r="CV128" s="226"/>
    </row>
    <row r="129" spans="6:100" ht="12.75" hidden="1">
      <c r="F129" s="384" t="e">
        <f>C129*#REF!</f>
        <v>#REF!</v>
      </c>
      <c r="I129" s="234">
        <f>IF((K109+1)-K129&lt;(K109+1),(K109+1)-K129," ")</f>
        <v>21</v>
      </c>
      <c r="J129" s="235"/>
      <c r="K129" s="235">
        <f t="shared" si="13"/>
        <v>4</v>
      </c>
      <c r="L129" s="235"/>
      <c r="M129" s="235"/>
      <c r="N129" s="235"/>
      <c r="O129" s="305" t="e">
        <f>#REF!*N109</f>
        <v>#REF!</v>
      </c>
      <c r="P129" s="305"/>
      <c r="Q129" s="305" t="e">
        <f>IF(O129&gt;0,G109-O129,0)</f>
        <v>#REF!</v>
      </c>
      <c r="R129" s="226"/>
      <c r="U129" s="234" t="str">
        <f>IF((W110+1)-W129&lt;(W110+1),(W110+1)-W129," ")</f>
        <v> </v>
      </c>
      <c r="V129" s="235"/>
      <c r="W129" s="235">
        <f t="shared" si="17"/>
        <v>0</v>
      </c>
      <c r="X129" s="235"/>
      <c r="Y129" s="235" t="e">
        <f>W129/((W110+1)*(W110/2))</f>
        <v>#DIV/0!</v>
      </c>
      <c r="Z129" s="235"/>
      <c r="AA129" s="235"/>
      <c r="AB129" s="305" t="e">
        <f>Y129*AA110</f>
        <v>#DIV/0!</v>
      </c>
      <c r="AC129" s="305"/>
      <c r="AD129" s="305" t="e">
        <f>IF(AB129&gt;0,S110-AB129,0)</f>
        <v>#DIV/0!</v>
      </c>
      <c r="AE129" s="226"/>
      <c r="AO129" s="234">
        <f>IF((AQ110+1)-AQ129&lt;(AQ110+1),(AQ110+1)-AQ129," ")</f>
        <v>20</v>
      </c>
      <c r="AP129" s="235"/>
      <c r="AQ129" s="235">
        <f t="shared" si="18"/>
        <v>5</v>
      </c>
      <c r="AR129" s="235"/>
      <c r="AS129" s="235">
        <f>AQ129/((AQ110+1)*(AQ110/2))</f>
        <v>0.016666666666666666</v>
      </c>
      <c r="AT129" s="235"/>
      <c r="AU129" s="235"/>
      <c r="AV129" s="305">
        <f>AS129*AU110</f>
        <v>0</v>
      </c>
      <c r="AW129" s="305"/>
      <c r="AX129" s="305">
        <f>IF(AV129&gt;0,AM110-AV129,0)</f>
        <v>0</v>
      </c>
      <c r="AY129" s="226"/>
      <c r="BJ129" s="234">
        <f>IF((BL109+1)-BL129&lt;(BL109+1),(BL109+1)-BL129," ")</f>
        <v>21</v>
      </c>
      <c r="BK129" s="235"/>
      <c r="BL129" s="235">
        <f t="shared" si="14"/>
        <v>4</v>
      </c>
      <c r="BM129" s="235"/>
      <c r="BN129" s="235">
        <f>BL129/((BL109+1)*(BL109/2))</f>
        <v>0.013333333333333334</v>
      </c>
      <c r="BO129" s="235"/>
      <c r="BP129" s="235"/>
      <c r="BQ129" s="305">
        <f>BN129*BP109</f>
        <v>0</v>
      </c>
      <c r="BR129" s="305"/>
      <c r="BS129" s="305">
        <f>IF(BQ129&gt;0,BH109-BQ129,0)</f>
        <v>0</v>
      </c>
      <c r="BT129" s="226"/>
      <c r="BX129" s="234" t="e">
        <f>IF((BZ109+1)-BZ129&lt;(BZ109+1),(BZ109+1)-BZ129," ")</f>
        <v>#REF!</v>
      </c>
      <c r="BY129" s="235"/>
      <c r="BZ129" s="235" t="e">
        <f t="shared" si="15"/>
        <v>#REF!</v>
      </c>
      <c r="CA129" s="235"/>
      <c r="CB129" s="235" t="e">
        <f>BZ129/((BZ109+1)*(BZ109/2))</f>
        <v>#REF!</v>
      </c>
      <c r="CC129" s="235"/>
      <c r="CD129" s="235"/>
      <c r="CE129" s="305" t="e">
        <f>CB129*CD109</f>
        <v>#REF!</v>
      </c>
      <c r="CF129" s="305"/>
      <c r="CG129" s="305" t="e">
        <f>IF(CE129&gt;0,BV109-CE129,0)</f>
        <v>#REF!</v>
      </c>
      <c r="CH129" s="226"/>
      <c r="CL129" s="234" t="e">
        <f>IF((CN109+1)-CN129&lt;(CN109+1),(CN109+1)-CN129," ")</f>
        <v>#REF!</v>
      </c>
      <c r="CM129" s="235"/>
      <c r="CN129" s="235" t="e">
        <f t="shared" si="16"/>
        <v>#REF!</v>
      </c>
      <c r="CO129" s="235"/>
      <c r="CP129" s="235" t="e">
        <f>CN129/((CN109+1)*(CN109/2))</f>
        <v>#REF!</v>
      </c>
      <c r="CQ129" s="235"/>
      <c r="CR129" s="235"/>
      <c r="CS129" s="305" t="e">
        <f>CP129*CR109</f>
        <v>#REF!</v>
      </c>
      <c r="CT129" s="305"/>
      <c r="CU129" s="305" t="e">
        <f>IF(CS129&gt;0,CJ109-CS129,0)</f>
        <v>#REF!</v>
      </c>
      <c r="CV129" s="226"/>
    </row>
    <row r="130" spans="6:100" ht="12.75" hidden="1">
      <c r="F130" s="384" t="e">
        <f>C130*#REF!</f>
        <v>#REF!</v>
      </c>
      <c r="I130" s="234">
        <f>IF((K109+1)-K130&lt;(K109+1),(K109+1)-K130," ")</f>
        <v>22</v>
      </c>
      <c r="J130" s="235"/>
      <c r="K130" s="235">
        <f t="shared" si="13"/>
        <v>3</v>
      </c>
      <c r="L130" s="235"/>
      <c r="M130" s="235"/>
      <c r="N130" s="235"/>
      <c r="O130" s="305" t="e">
        <f>#REF!*N109</f>
        <v>#REF!</v>
      </c>
      <c r="P130" s="305"/>
      <c r="Q130" s="305" t="e">
        <f>IF(O130&gt;0,G109-O130,0)</f>
        <v>#REF!</v>
      </c>
      <c r="R130" s="226"/>
      <c r="U130" s="234" t="str">
        <f>IF((W110+1)-W130&lt;(W110+1),(W110+1)-W130," ")</f>
        <v> </v>
      </c>
      <c r="V130" s="235"/>
      <c r="W130" s="235">
        <f t="shared" si="17"/>
        <v>0</v>
      </c>
      <c r="X130" s="235"/>
      <c r="Y130" s="235" t="e">
        <f>W130/((W110+1)*(W110/2))</f>
        <v>#DIV/0!</v>
      </c>
      <c r="Z130" s="235"/>
      <c r="AA130" s="235"/>
      <c r="AB130" s="305" t="e">
        <f>Y130*AA110</f>
        <v>#DIV/0!</v>
      </c>
      <c r="AC130" s="305"/>
      <c r="AD130" s="305" t="e">
        <f>IF(AB130&gt;0,S110-AB130,0)</f>
        <v>#DIV/0!</v>
      </c>
      <c r="AE130" s="226"/>
      <c r="AO130" s="234">
        <f>IF((AQ110+1)-AQ130&lt;(AQ110+1),(AQ110+1)-AQ130," ")</f>
        <v>21</v>
      </c>
      <c r="AP130" s="235"/>
      <c r="AQ130" s="235">
        <f t="shared" si="18"/>
        <v>4</v>
      </c>
      <c r="AR130" s="235"/>
      <c r="AS130" s="235">
        <f>AQ130/((AQ110+1)*(AQ110/2))</f>
        <v>0.013333333333333334</v>
      </c>
      <c r="AT130" s="235"/>
      <c r="AU130" s="235"/>
      <c r="AV130" s="305">
        <f>AS130*AU110</f>
        <v>0</v>
      </c>
      <c r="AW130" s="305"/>
      <c r="AX130" s="305">
        <f>IF(AV130&gt;0,AM110-AV130,0)</f>
        <v>0</v>
      </c>
      <c r="AY130" s="226"/>
      <c r="BJ130" s="234">
        <f>IF((BL109+1)-BL130&lt;(BL109+1),(BL109+1)-BL130," ")</f>
        <v>22</v>
      </c>
      <c r="BK130" s="235"/>
      <c r="BL130" s="235">
        <f t="shared" si="14"/>
        <v>3</v>
      </c>
      <c r="BM130" s="235"/>
      <c r="BN130" s="235">
        <f>BL130/((BL109+1)*(BL109/2))</f>
        <v>0.01</v>
      </c>
      <c r="BO130" s="235"/>
      <c r="BP130" s="235"/>
      <c r="BQ130" s="305">
        <f>BN130*BP109</f>
        <v>0</v>
      </c>
      <c r="BR130" s="305"/>
      <c r="BS130" s="305">
        <f>IF(BQ130&gt;0,BH109-BQ130,0)</f>
        <v>0</v>
      </c>
      <c r="BT130" s="226"/>
      <c r="BX130" s="234" t="e">
        <f>IF((BZ109+1)-BZ130&lt;(BZ109+1),(BZ109+1)-BZ130," ")</f>
        <v>#REF!</v>
      </c>
      <c r="BY130" s="235"/>
      <c r="BZ130" s="235" t="e">
        <f t="shared" si="15"/>
        <v>#REF!</v>
      </c>
      <c r="CA130" s="235"/>
      <c r="CB130" s="235" t="e">
        <f>BZ130/((BZ109+1)*(BZ109/2))</f>
        <v>#REF!</v>
      </c>
      <c r="CC130" s="235"/>
      <c r="CD130" s="235"/>
      <c r="CE130" s="305" t="e">
        <f>CB130*CD109</f>
        <v>#REF!</v>
      </c>
      <c r="CF130" s="305"/>
      <c r="CG130" s="305" t="e">
        <f>IF(CE130&gt;0,BV109-CE130,0)</f>
        <v>#REF!</v>
      </c>
      <c r="CH130" s="226"/>
      <c r="CL130" s="234" t="e">
        <f>IF((CN109+1)-CN130&lt;(CN109+1),(CN109+1)-CN130," ")</f>
        <v>#REF!</v>
      </c>
      <c r="CM130" s="235"/>
      <c r="CN130" s="235" t="e">
        <f t="shared" si="16"/>
        <v>#REF!</v>
      </c>
      <c r="CO130" s="235"/>
      <c r="CP130" s="235" t="e">
        <f>CN130/((CN109+1)*(CN109/2))</f>
        <v>#REF!</v>
      </c>
      <c r="CQ130" s="235"/>
      <c r="CR130" s="235"/>
      <c r="CS130" s="305" t="e">
        <f>CP130*CR109</f>
        <v>#REF!</v>
      </c>
      <c r="CT130" s="305"/>
      <c r="CU130" s="305" t="e">
        <f>IF(CS130&gt;0,CJ109-CS130,0)</f>
        <v>#REF!</v>
      </c>
      <c r="CV130" s="226"/>
    </row>
    <row r="131" spans="6:100" ht="12.75" hidden="1">
      <c r="F131" s="384" t="e">
        <f>C131*#REF!</f>
        <v>#REF!</v>
      </c>
      <c r="I131" s="234">
        <f>IF((K109+1)-K131&lt;(K109+1),(K109+1)-K131," ")</f>
        <v>23</v>
      </c>
      <c r="J131" s="235"/>
      <c r="K131" s="235">
        <f t="shared" si="13"/>
        <v>2</v>
      </c>
      <c r="L131" s="235"/>
      <c r="M131" s="235"/>
      <c r="N131" s="235"/>
      <c r="O131" s="305" t="e">
        <f>#REF!*N109</f>
        <v>#REF!</v>
      </c>
      <c r="P131" s="305"/>
      <c r="Q131" s="305" t="e">
        <f>IF(O131&gt;0,G109-O131,0)</f>
        <v>#REF!</v>
      </c>
      <c r="R131" s="226"/>
      <c r="U131" s="234" t="str">
        <f>IF((W110+1)-W131&lt;(W110+1),(W110+1)-W131," ")</f>
        <v> </v>
      </c>
      <c r="V131" s="235"/>
      <c r="W131" s="235">
        <f t="shared" si="17"/>
        <v>0</v>
      </c>
      <c r="X131" s="235"/>
      <c r="Y131" s="235" t="e">
        <f>W131/((W110+1)*(W110/2))</f>
        <v>#DIV/0!</v>
      </c>
      <c r="Z131" s="235"/>
      <c r="AA131" s="235"/>
      <c r="AB131" s="305" t="e">
        <f>Y131*AA110</f>
        <v>#DIV/0!</v>
      </c>
      <c r="AC131" s="305"/>
      <c r="AD131" s="305" t="e">
        <f>IF(AB131&gt;0,S110-AB131,0)</f>
        <v>#DIV/0!</v>
      </c>
      <c r="AE131" s="226"/>
      <c r="AO131" s="234">
        <f>IF((AQ110+1)-AQ131&lt;(AQ110+1),(AQ110+1)-AQ131," ")</f>
        <v>22</v>
      </c>
      <c r="AP131" s="235"/>
      <c r="AQ131" s="235">
        <f t="shared" si="18"/>
        <v>3</v>
      </c>
      <c r="AR131" s="235"/>
      <c r="AS131" s="235">
        <f>AQ131/((AQ110+1)*(AQ110/2))</f>
        <v>0.01</v>
      </c>
      <c r="AT131" s="235"/>
      <c r="AU131" s="235"/>
      <c r="AV131" s="305">
        <f>AS131*AU110</f>
        <v>0</v>
      </c>
      <c r="AW131" s="305"/>
      <c r="AX131" s="305">
        <f>IF(AV131&gt;0,AM110-AV131,0)</f>
        <v>0</v>
      </c>
      <c r="AY131" s="226"/>
      <c r="BJ131" s="234">
        <f>IF((BL109+1)-BL131&lt;(BL109+1),(BL109+1)-BL131," ")</f>
        <v>23</v>
      </c>
      <c r="BK131" s="235"/>
      <c r="BL131" s="235">
        <f t="shared" si="14"/>
        <v>2</v>
      </c>
      <c r="BM131" s="235"/>
      <c r="BN131" s="235">
        <f>BL131/((BL109+1)*(BL109/2))</f>
        <v>0.006666666666666667</v>
      </c>
      <c r="BO131" s="235"/>
      <c r="BP131" s="235"/>
      <c r="BQ131" s="305">
        <f>BN131*BP109</f>
        <v>0</v>
      </c>
      <c r="BR131" s="305"/>
      <c r="BS131" s="305">
        <f>IF(BQ131&gt;0,BH109-BQ131,0)</f>
        <v>0</v>
      </c>
      <c r="BT131" s="226"/>
      <c r="BX131" s="234" t="e">
        <f>IF((BZ109+1)-BZ131&lt;(BZ109+1),(BZ109+1)-BZ131," ")</f>
        <v>#REF!</v>
      </c>
      <c r="BY131" s="235"/>
      <c r="BZ131" s="235" t="e">
        <f t="shared" si="15"/>
        <v>#REF!</v>
      </c>
      <c r="CA131" s="235"/>
      <c r="CB131" s="235" t="e">
        <f>BZ131/((BZ109+1)*(BZ109/2))</f>
        <v>#REF!</v>
      </c>
      <c r="CC131" s="235"/>
      <c r="CD131" s="235"/>
      <c r="CE131" s="305" t="e">
        <f>CB131*CD109</f>
        <v>#REF!</v>
      </c>
      <c r="CF131" s="305"/>
      <c r="CG131" s="305" t="e">
        <f>IF(CE131&gt;0,BV109-CE131,0)</f>
        <v>#REF!</v>
      </c>
      <c r="CH131" s="226"/>
      <c r="CL131" s="234" t="e">
        <f>IF((CN109+1)-CN131&lt;(CN109+1),(CN109+1)-CN131," ")</f>
        <v>#REF!</v>
      </c>
      <c r="CM131" s="235"/>
      <c r="CN131" s="235" t="e">
        <f t="shared" si="16"/>
        <v>#REF!</v>
      </c>
      <c r="CO131" s="235"/>
      <c r="CP131" s="235" t="e">
        <f>CN131/((CN109+1)*(CN109/2))</f>
        <v>#REF!</v>
      </c>
      <c r="CQ131" s="235"/>
      <c r="CR131" s="235"/>
      <c r="CS131" s="305" t="e">
        <f>CP131*CR109</f>
        <v>#REF!</v>
      </c>
      <c r="CT131" s="305"/>
      <c r="CU131" s="305" t="e">
        <f>IF(CS131&gt;0,CJ109-CS131,0)</f>
        <v>#REF!</v>
      </c>
      <c r="CV131" s="226"/>
    </row>
    <row r="132" spans="6:100" ht="12.75" hidden="1">
      <c r="F132" s="384" t="e">
        <f>C132*#REF!</f>
        <v>#REF!</v>
      </c>
      <c r="I132" s="234">
        <f>IF((K109+1)-K132&lt;(K109+1),(K109+1)-K132," ")</f>
        <v>24</v>
      </c>
      <c r="J132" s="235"/>
      <c r="K132" s="235">
        <f t="shared" si="13"/>
        <v>1</v>
      </c>
      <c r="L132" s="235"/>
      <c r="M132" s="235"/>
      <c r="N132" s="235"/>
      <c r="O132" s="305" t="e">
        <f>#REF!*N109</f>
        <v>#REF!</v>
      </c>
      <c r="P132" s="305"/>
      <c r="Q132" s="305" t="e">
        <f>IF(O132&gt;0,G109-O132,0)</f>
        <v>#REF!</v>
      </c>
      <c r="R132" s="226"/>
      <c r="U132" s="234" t="str">
        <f>IF((W110+1)-W132&lt;(W110+1),(W110+1)-W132," ")</f>
        <v> </v>
      </c>
      <c r="V132" s="235"/>
      <c r="W132" s="235">
        <f t="shared" si="17"/>
        <v>0</v>
      </c>
      <c r="X132" s="235"/>
      <c r="Y132" s="235" t="e">
        <f>W132/((W110+1)*(W110/2))</f>
        <v>#DIV/0!</v>
      </c>
      <c r="Z132" s="235"/>
      <c r="AA132" s="235"/>
      <c r="AB132" s="305" t="e">
        <f>Y132*AA110</f>
        <v>#DIV/0!</v>
      </c>
      <c r="AC132" s="305"/>
      <c r="AD132" s="305" t="e">
        <f>IF(AB132&gt;0,S110-AB132,0)</f>
        <v>#DIV/0!</v>
      </c>
      <c r="AE132" s="226"/>
      <c r="AO132" s="234">
        <f>IF((AQ110+1)-AQ132&lt;(AQ110+1),(AQ110+1)-AQ132," ")</f>
        <v>23</v>
      </c>
      <c r="AP132" s="235"/>
      <c r="AQ132" s="235">
        <f t="shared" si="18"/>
        <v>2</v>
      </c>
      <c r="AR132" s="235"/>
      <c r="AS132" s="235">
        <f>AQ132/((AQ110+1)*(AQ110/2))</f>
        <v>0.006666666666666667</v>
      </c>
      <c r="AT132" s="235"/>
      <c r="AU132" s="235"/>
      <c r="AV132" s="305">
        <f>AS132*AU110</f>
        <v>0</v>
      </c>
      <c r="AW132" s="305"/>
      <c r="AX132" s="305">
        <f>IF(AV132&gt;0,AM110-AV132,0)</f>
        <v>0</v>
      </c>
      <c r="AY132" s="226"/>
      <c r="BJ132" s="234">
        <f>IF((BL109+1)-BL132&lt;(BL109+1),(BL109+1)-BL132," ")</f>
        <v>24</v>
      </c>
      <c r="BK132" s="235"/>
      <c r="BL132" s="235">
        <f t="shared" si="14"/>
        <v>1</v>
      </c>
      <c r="BM132" s="235"/>
      <c r="BN132" s="235">
        <f>BL132/((BL109+1)*(BL109/2))</f>
        <v>0.0033333333333333335</v>
      </c>
      <c r="BO132" s="235"/>
      <c r="BP132" s="235"/>
      <c r="BQ132" s="305">
        <f>BN132*BP109</f>
        <v>0</v>
      </c>
      <c r="BR132" s="305"/>
      <c r="BS132" s="305">
        <f>IF(BQ132&gt;0,BH109-BQ132,0)</f>
        <v>0</v>
      </c>
      <c r="BT132" s="226"/>
      <c r="BX132" s="234" t="e">
        <f>IF((BZ109+1)-BZ132&lt;(BZ109+1),(BZ109+1)-BZ132," ")</f>
        <v>#REF!</v>
      </c>
      <c r="BY132" s="235"/>
      <c r="BZ132" s="235" t="e">
        <f t="shared" si="15"/>
        <v>#REF!</v>
      </c>
      <c r="CA132" s="235"/>
      <c r="CB132" s="235" t="e">
        <f>BZ132/((BZ109+1)*(BZ109/2))</f>
        <v>#REF!</v>
      </c>
      <c r="CC132" s="235"/>
      <c r="CD132" s="235"/>
      <c r="CE132" s="305" t="e">
        <f>CB132*CD109</f>
        <v>#REF!</v>
      </c>
      <c r="CF132" s="305"/>
      <c r="CG132" s="305" t="e">
        <f>IF(CE132&gt;0,BV109-CE132,0)</f>
        <v>#REF!</v>
      </c>
      <c r="CH132" s="226"/>
      <c r="CL132" s="234" t="e">
        <f>IF((CN109+1)-CN132&lt;(CN109+1),(CN109+1)-CN132," ")</f>
        <v>#REF!</v>
      </c>
      <c r="CM132" s="235"/>
      <c r="CN132" s="235" t="e">
        <f t="shared" si="16"/>
        <v>#REF!</v>
      </c>
      <c r="CO132" s="235"/>
      <c r="CP132" s="235" t="e">
        <f>CN132/((CN109+1)*(CN109/2))</f>
        <v>#REF!</v>
      </c>
      <c r="CQ132" s="235"/>
      <c r="CR132" s="235"/>
      <c r="CS132" s="305" t="e">
        <f>CP132*CR109</f>
        <v>#REF!</v>
      </c>
      <c r="CT132" s="305"/>
      <c r="CU132" s="305" t="e">
        <f>IF(CS132&gt;0,CJ109-CS132,0)</f>
        <v>#REF!</v>
      </c>
      <c r="CV132" s="226"/>
    </row>
    <row r="133" spans="6:100" ht="12.75" hidden="1">
      <c r="F133" s="384" t="e">
        <f>C133*#REF!</f>
        <v>#REF!</v>
      </c>
      <c r="I133" s="234" t="str">
        <f>IF((K109+1)-K133&lt;(K109+1),(K109+1)-K133," ")</f>
        <v> </v>
      </c>
      <c r="J133" s="235"/>
      <c r="K133" s="235">
        <f t="shared" si="13"/>
        <v>0</v>
      </c>
      <c r="L133" s="235"/>
      <c r="M133" s="235" t="s">
        <v>6</v>
      </c>
      <c r="N133" s="235"/>
      <c r="O133" s="305" t="e">
        <f>#REF!*N109</f>
        <v>#REF!</v>
      </c>
      <c r="P133" s="305"/>
      <c r="Q133" s="305" t="e">
        <f>IF(O133&gt;0,G109-O133,0)</f>
        <v>#REF!</v>
      </c>
      <c r="R133" s="226"/>
      <c r="U133" s="234" t="str">
        <f>IF((W110+1)-W133&lt;(W110+1),(W110+1)-W133," ")</f>
        <v> </v>
      </c>
      <c r="V133" s="235"/>
      <c r="W133" s="235">
        <f t="shared" si="17"/>
        <v>0</v>
      </c>
      <c r="X133" s="235"/>
      <c r="Y133" s="235" t="e">
        <f>W133/((W110+1)*(W110/2))</f>
        <v>#DIV/0!</v>
      </c>
      <c r="Z133" s="235"/>
      <c r="AA133" s="235"/>
      <c r="AB133" s="305" t="e">
        <f>Y133*AA110</f>
        <v>#DIV/0!</v>
      </c>
      <c r="AC133" s="305"/>
      <c r="AD133" s="305" t="e">
        <f>IF(AB133&gt;0,S110-AB133,0)</f>
        <v>#DIV/0!</v>
      </c>
      <c r="AE133" s="226"/>
      <c r="AO133" s="234">
        <f>IF((AQ110+1)-AQ133&lt;(AQ110+1),(AQ110+1)-AQ133," ")</f>
        <v>24</v>
      </c>
      <c r="AP133" s="235"/>
      <c r="AQ133" s="235">
        <f t="shared" si="18"/>
        <v>1</v>
      </c>
      <c r="AR133" s="235"/>
      <c r="AS133" s="235">
        <f>AQ133/((AQ110+1)*(AQ110/2))</f>
        <v>0.0033333333333333335</v>
      </c>
      <c r="AT133" s="235"/>
      <c r="AU133" s="235"/>
      <c r="AV133" s="305">
        <f>AS133*AU110</f>
        <v>0</v>
      </c>
      <c r="AW133" s="305"/>
      <c r="AX133" s="305">
        <f>IF(AV133&gt;0,AM110-AV133,0)</f>
        <v>0</v>
      </c>
      <c r="AY133" s="226"/>
      <c r="BJ133" s="234" t="str">
        <f>IF((BL109+1)-BL133&lt;(BL109+1),(BL109+1)-BL133," ")</f>
        <v> </v>
      </c>
      <c r="BK133" s="235"/>
      <c r="BL133" s="235">
        <f t="shared" si="14"/>
        <v>0</v>
      </c>
      <c r="BM133" s="235"/>
      <c r="BN133" s="235">
        <f>BL133/((BL109+1)*(BL109/2))</f>
        <v>0</v>
      </c>
      <c r="BO133" s="235" t="s">
        <v>6</v>
      </c>
      <c r="BP133" s="235"/>
      <c r="BQ133" s="305">
        <f>BN133*BP109</f>
        <v>0</v>
      </c>
      <c r="BR133" s="305"/>
      <c r="BS133" s="305">
        <f>IF(BQ133&gt;0,BH109-BQ133,0)</f>
        <v>0</v>
      </c>
      <c r="BT133" s="226"/>
      <c r="BX133" s="234" t="e">
        <f>IF((BZ109+1)-BZ133&lt;(BZ109+1),(BZ109+1)-BZ133," ")</f>
        <v>#REF!</v>
      </c>
      <c r="BY133" s="235"/>
      <c r="BZ133" s="235" t="e">
        <f t="shared" si="15"/>
        <v>#REF!</v>
      </c>
      <c r="CA133" s="235"/>
      <c r="CB133" s="235" t="e">
        <f>BZ133/((BZ109+1)*(BZ109/2))</f>
        <v>#REF!</v>
      </c>
      <c r="CC133" s="235" t="s">
        <v>6</v>
      </c>
      <c r="CD133" s="235"/>
      <c r="CE133" s="305" t="e">
        <f>CB133*CD109</f>
        <v>#REF!</v>
      </c>
      <c r="CF133" s="305"/>
      <c r="CG133" s="305" t="e">
        <f>IF(CE133&gt;0,BV109-CE133,0)</f>
        <v>#REF!</v>
      </c>
      <c r="CH133" s="226"/>
      <c r="CL133" s="234" t="e">
        <f>IF((CN109+1)-CN133&lt;(CN109+1),(CN109+1)-CN133," ")</f>
        <v>#REF!</v>
      </c>
      <c r="CM133" s="235"/>
      <c r="CN133" s="235" t="e">
        <f t="shared" si="16"/>
        <v>#REF!</v>
      </c>
      <c r="CO133" s="235"/>
      <c r="CP133" s="235" t="e">
        <f>CN133/((CN109+1)*(CN109/2))</f>
        <v>#REF!</v>
      </c>
      <c r="CQ133" s="235" t="s">
        <v>6</v>
      </c>
      <c r="CR133" s="235"/>
      <c r="CS133" s="305" t="e">
        <f>CP133*CR109</f>
        <v>#REF!</v>
      </c>
      <c r="CT133" s="305"/>
      <c r="CU133" s="305" t="e">
        <f>IF(CS133&gt;0,CJ109-CS133,0)</f>
        <v>#REF!</v>
      </c>
      <c r="CV133" s="226"/>
    </row>
    <row r="134" spans="6:100" ht="12.75" hidden="1">
      <c r="F134" s="384" t="e">
        <f>C134*#REF!</f>
        <v>#REF!</v>
      </c>
      <c r="I134" s="234" t="str">
        <f>IF((K109+1)-K134&lt;(K109+1),(K109+1)-K134," ")</f>
        <v> </v>
      </c>
      <c r="J134" s="235"/>
      <c r="K134" s="235">
        <f t="shared" si="13"/>
        <v>0</v>
      </c>
      <c r="L134" s="235"/>
      <c r="M134" s="235"/>
      <c r="N134" s="235"/>
      <c r="O134" s="305" t="e">
        <f>#REF!*N109</f>
        <v>#REF!</v>
      </c>
      <c r="P134" s="305"/>
      <c r="Q134" s="305" t="e">
        <f>IF(O134&gt;0,G109-O134,0)</f>
        <v>#REF!</v>
      </c>
      <c r="R134" s="226"/>
      <c r="U134" s="234" t="str">
        <f>IF((W110+1)-W134&lt;(W110+1),(W110+1)-W134," ")</f>
        <v> </v>
      </c>
      <c r="V134" s="235"/>
      <c r="W134" s="235">
        <f t="shared" si="17"/>
        <v>0</v>
      </c>
      <c r="X134" s="235"/>
      <c r="Y134" s="235" t="e">
        <f>W134/((W110+1)*(W110/2))</f>
        <v>#DIV/0!</v>
      </c>
      <c r="Z134" s="235" t="s">
        <v>6</v>
      </c>
      <c r="AA134" s="235"/>
      <c r="AB134" s="305" t="e">
        <f>Y134*AA110</f>
        <v>#DIV/0!</v>
      </c>
      <c r="AC134" s="305"/>
      <c r="AD134" s="305" t="e">
        <f>IF(AB134&gt;0,S110-AB134,0)</f>
        <v>#DIV/0!</v>
      </c>
      <c r="AE134" s="226"/>
      <c r="AO134" s="234" t="str">
        <f>IF((AQ110+1)-AQ134&lt;(AQ110+1),(AQ110+1)-AQ134," ")</f>
        <v> </v>
      </c>
      <c r="AP134" s="235"/>
      <c r="AQ134" s="235">
        <f t="shared" si="18"/>
        <v>0</v>
      </c>
      <c r="AR134" s="235"/>
      <c r="AS134" s="235">
        <f>AQ134/((AQ110+1)*(AQ110/2))</f>
        <v>0</v>
      </c>
      <c r="AT134" s="235" t="s">
        <v>6</v>
      </c>
      <c r="AU134" s="235"/>
      <c r="AV134" s="305">
        <f>AS134*AU110</f>
        <v>0</v>
      </c>
      <c r="AW134" s="305"/>
      <c r="AX134" s="305">
        <f>IF(AV134&gt;0,AM110-AV134,0)</f>
        <v>0</v>
      </c>
      <c r="AY134" s="226"/>
      <c r="BJ134" s="234" t="str">
        <f>IF((BL109+1)-BL134&lt;(BL109+1),(BL109+1)-BL134," ")</f>
        <v> </v>
      </c>
      <c r="BK134" s="235"/>
      <c r="BL134" s="235">
        <f t="shared" si="14"/>
        <v>0</v>
      </c>
      <c r="BM134" s="235"/>
      <c r="BN134" s="235">
        <f>BL134/((BL109+1)*(BL109/2))</f>
        <v>0</v>
      </c>
      <c r="BO134" s="235"/>
      <c r="BP134" s="235"/>
      <c r="BQ134" s="305">
        <f>BN134*BP109</f>
        <v>0</v>
      </c>
      <c r="BR134" s="305"/>
      <c r="BS134" s="305">
        <f>IF(BQ134&gt;0,BH109-BQ134,0)</f>
        <v>0</v>
      </c>
      <c r="BT134" s="226"/>
      <c r="BX134" s="234" t="e">
        <f>IF((BZ109+1)-BZ134&lt;(BZ109+1),(BZ109+1)-BZ134," ")</f>
        <v>#REF!</v>
      </c>
      <c r="BY134" s="235"/>
      <c r="BZ134" s="235" t="e">
        <f t="shared" si="15"/>
        <v>#REF!</v>
      </c>
      <c r="CA134" s="235"/>
      <c r="CB134" s="235" t="e">
        <f>BZ134/((BZ109+1)*(BZ109/2))</f>
        <v>#REF!</v>
      </c>
      <c r="CC134" s="235"/>
      <c r="CD134" s="235"/>
      <c r="CE134" s="305" t="e">
        <f>CB134*CD109</f>
        <v>#REF!</v>
      </c>
      <c r="CF134" s="305"/>
      <c r="CG134" s="305" t="e">
        <f>IF(CE134&gt;0,BV109-CE134,0)</f>
        <v>#REF!</v>
      </c>
      <c r="CH134" s="226"/>
      <c r="CL134" s="234" t="e">
        <f>IF((CN109+1)-CN134&lt;(CN109+1),(CN109+1)-CN134," ")</f>
        <v>#REF!</v>
      </c>
      <c r="CM134" s="235"/>
      <c r="CN134" s="235" t="e">
        <f t="shared" si="16"/>
        <v>#REF!</v>
      </c>
      <c r="CO134" s="235"/>
      <c r="CP134" s="235" t="e">
        <f>CN134/((CN109+1)*(CN109/2))</f>
        <v>#REF!</v>
      </c>
      <c r="CQ134" s="235"/>
      <c r="CR134" s="235"/>
      <c r="CS134" s="305" t="e">
        <f>CP134*CR109</f>
        <v>#REF!</v>
      </c>
      <c r="CT134" s="305"/>
      <c r="CU134" s="305" t="e">
        <f>IF(CS134&gt;0,CJ109-CS134,0)</f>
        <v>#REF!</v>
      </c>
      <c r="CV134" s="226"/>
    </row>
    <row r="135" spans="6:100" ht="12.75" hidden="1">
      <c r="F135" s="384" t="e">
        <f>C135*#REF!</f>
        <v>#REF!</v>
      </c>
      <c r="I135" s="234" t="str">
        <f>IF((K109+1)-K135&lt;(K109+1),(K109+1)-K135," ")</f>
        <v> </v>
      </c>
      <c r="J135" s="235"/>
      <c r="K135" s="235">
        <f t="shared" si="13"/>
        <v>0</v>
      </c>
      <c r="L135" s="235"/>
      <c r="M135" s="235"/>
      <c r="N135" s="235"/>
      <c r="O135" s="305" t="e">
        <f>#REF!*N109</f>
        <v>#REF!</v>
      </c>
      <c r="P135" s="305"/>
      <c r="Q135" s="305" t="e">
        <f>IF(O135&gt;0,G109-O135,0)</f>
        <v>#REF!</v>
      </c>
      <c r="R135" s="226"/>
      <c r="U135" s="234" t="str">
        <f>IF((W110+1)-W135&lt;(W110+1),(W110+1)-W135," ")</f>
        <v> </v>
      </c>
      <c r="V135" s="235"/>
      <c r="W135" s="235">
        <f t="shared" si="17"/>
        <v>0</v>
      </c>
      <c r="X135" s="235"/>
      <c r="Y135" s="235" t="e">
        <f>W135/((W110+1)*(W110/2))</f>
        <v>#DIV/0!</v>
      </c>
      <c r="Z135" s="235"/>
      <c r="AA135" s="235"/>
      <c r="AB135" s="305" t="e">
        <f>Y135*AA110</f>
        <v>#DIV/0!</v>
      </c>
      <c r="AC135" s="305"/>
      <c r="AD135" s="305" t="e">
        <f>IF(AB135&gt;0,S110-AB135,0)</f>
        <v>#DIV/0!</v>
      </c>
      <c r="AE135" s="226"/>
      <c r="AO135" s="234" t="str">
        <f>IF((AQ110+1)-AQ135&lt;(AQ110+1),(AQ110+1)-AQ135," ")</f>
        <v> </v>
      </c>
      <c r="AP135" s="235"/>
      <c r="AQ135" s="235">
        <f t="shared" si="18"/>
        <v>0</v>
      </c>
      <c r="AR135" s="235"/>
      <c r="AS135" s="235">
        <f>AQ135/((AQ110+1)*(AQ110/2))</f>
        <v>0</v>
      </c>
      <c r="AT135" s="235"/>
      <c r="AU135" s="235"/>
      <c r="AV135" s="305">
        <f>AS135*AU110</f>
        <v>0</v>
      </c>
      <c r="AW135" s="305"/>
      <c r="AX135" s="305">
        <f>IF(AV135&gt;0,AM110-AV135,0)</f>
        <v>0</v>
      </c>
      <c r="AY135" s="226"/>
      <c r="BJ135" s="234" t="str">
        <f>IF((BL109+1)-BL135&lt;(BL109+1),(BL109+1)-BL135," ")</f>
        <v> </v>
      </c>
      <c r="BK135" s="235"/>
      <c r="BL135" s="235">
        <f t="shared" si="14"/>
        <v>0</v>
      </c>
      <c r="BM135" s="235"/>
      <c r="BN135" s="235">
        <f>BL135/((BL109+1)*(BL109/2))</f>
        <v>0</v>
      </c>
      <c r="BO135" s="235"/>
      <c r="BP135" s="235"/>
      <c r="BQ135" s="305">
        <f>BN135*BP109</f>
        <v>0</v>
      </c>
      <c r="BR135" s="305"/>
      <c r="BS135" s="305">
        <f>IF(BQ135&gt;0,BH109-BQ135,0)</f>
        <v>0</v>
      </c>
      <c r="BT135" s="226"/>
      <c r="BX135" s="234" t="e">
        <f>IF((BZ109+1)-BZ135&lt;(BZ109+1),(BZ109+1)-BZ135," ")</f>
        <v>#REF!</v>
      </c>
      <c r="BY135" s="235"/>
      <c r="BZ135" s="235" t="e">
        <f t="shared" si="15"/>
        <v>#REF!</v>
      </c>
      <c r="CA135" s="235"/>
      <c r="CB135" s="235" t="e">
        <f>BZ135/((BZ109+1)*(BZ109/2))</f>
        <v>#REF!</v>
      </c>
      <c r="CC135" s="235"/>
      <c r="CD135" s="235"/>
      <c r="CE135" s="305" t="e">
        <f>CB135*CD109</f>
        <v>#REF!</v>
      </c>
      <c r="CF135" s="305"/>
      <c r="CG135" s="305" t="e">
        <f>IF(CE135&gt;0,BV109-CE135,0)</f>
        <v>#REF!</v>
      </c>
      <c r="CH135" s="226"/>
      <c r="CL135" s="234" t="e">
        <f>IF((CN109+1)-CN135&lt;(CN109+1),(CN109+1)-CN135," ")</f>
        <v>#REF!</v>
      </c>
      <c r="CM135" s="235"/>
      <c r="CN135" s="235" t="e">
        <f t="shared" si="16"/>
        <v>#REF!</v>
      </c>
      <c r="CO135" s="235"/>
      <c r="CP135" s="235" t="e">
        <f>CN135/((CN109+1)*(CN109/2))</f>
        <v>#REF!</v>
      </c>
      <c r="CQ135" s="235"/>
      <c r="CR135" s="235"/>
      <c r="CS135" s="305" t="e">
        <f>CP135*CR109</f>
        <v>#REF!</v>
      </c>
      <c r="CT135" s="305"/>
      <c r="CU135" s="305" t="e">
        <f>IF(CS135&gt;0,CJ109-CS135,0)</f>
        <v>#REF!</v>
      </c>
      <c r="CV135" s="226"/>
    </row>
    <row r="136" spans="6:100" ht="12.75" hidden="1">
      <c r="F136" s="384" t="e">
        <f>C136*#REF!</f>
        <v>#REF!</v>
      </c>
      <c r="I136" s="234" t="str">
        <f>IF((K109+1)-K136&lt;(K109+1),(K109+1)-K136," ")</f>
        <v> </v>
      </c>
      <c r="J136" s="235"/>
      <c r="K136" s="235">
        <f t="shared" si="13"/>
        <v>0</v>
      </c>
      <c r="L136" s="235"/>
      <c r="M136" s="235"/>
      <c r="N136" s="235"/>
      <c r="O136" s="305" t="e">
        <f>#REF!*N109</f>
        <v>#REF!</v>
      </c>
      <c r="P136" s="305"/>
      <c r="Q136" s="305" t="e">
        <f>IF(O136&gt;0,G109-O136,0)</f>
        <v>#REF!</v>
      </c>
      <c r="R136" s="226"/>
      <c r="U136" s="234" t="str">
        <f>IF((W110+1)-W136&lt;(W110+1),(W110+1)-W136," ")</f>
        <v> </v>
      </c>
      <c r="V136" s="235"/>
      <c r="W136" s="235">
        <f t="shared" si="17"/>
        <v>0</v>
      </c>
      <c r="X136" s="235"/>
      <c r="Y136" s="235" t="e">
        <f>W136/((W110+1)*(W110/2))</f>
        <v>#DIV/0!</v>
      </c>
      <c r="Z136" s="235"/>
      <c r="AA136" s="235"/>
      <c r="AB136" s="305" t="e">
        <f>Y136*AA110</f>
        <v>#DIV/0!</v>
      </c>
      <c r="AC136" s="305"/>
      <c r="AD136" s="305" t="e">
        <f>IF(AB136&gt;0,S110-AB136,0)</f>
        <v>#DIV/0!</v>
      </c>
      <c r="AE136" s="226"/>
      <c r="AO136" s="234" t="str">
        <f>IF((AQ110+1)-AQ136&lt;(AQ110+1),(AQ110+1)-AQ136," ")</f>
        <v> </v>
      </c>
      <c r="AP136" s="235"/>
      <c r="AQ136" s="235">
        <f t="shared" si="18"/>
        <v>0</v>
      </c>
      <c r="AR136" s="235"/>
      <c r="AS136" s="235">
        <f>AQ136/((AQ110+1)*(AQ110/2))</f>
        <v>0</v>
      </c>
      <c r="AT136" s="235"/>
      <c r="AU136" s="235"/>
      <c r="AV136" s="305">
        <f>AS136*AU110</f>
        <v>0</v>
      </c>
      <c r="AW136" s="305"/>
      <c r="AX136" s="305">
        <f>IF(AV136&gt;0,AM110-AV136,0)</f>
        <v>0</v>
      </c>
      <c r="AY136" s="226"/>
      <c r="BJ136" s="234" t="str">
        <f>IF((BL109+1)-BL136&lt;(BL109+1),(BL109+1)-BL136," ")</f>
        <v> </v>
      </c>
      <c r="BK136" s="235"/>
      <c r="BL136" s="235">
        <f t="shared" si="14"/>
        <v>0</v>
      </c>
      <c r="BM136" s="235"/>
      <c r="BN136" s="235">
        <f>BL136/((BL109+1)*(BL109/2))</f>
        <v>0</v>
      </c>
      <c r="BO136" s="235"/>
      <c r="BP136" s="235"/>
      <c r="BQ136" s="305">
        <f>BN136*BP109</f>
        <v>0</v>
      </c>
      <c r="BR136" s="305"/>
      <c r="BS136" s="305">
        <f>IF(BQ136&gt;0,BH109-BQ136,0)</f>
        <v>0</v>
      </c>
      <c r="BT136" s="226"/>
      <c r="BX136" s="234" t="e">
        <f>IF((BZ109+1)-BZ136&lt;(BZ109+1),(BZ109+1)-BZ136," ")</f>
        <v>#REF!</v>
      </c>
      <c r="BY136" s="235"/>
      <c r="BZ136" s="235" t="e">
        <f t="shared" si="15"/>
        <v>#REF!</v>
      </c>
      <c r="CA136" s="235"/>
      <c r="CB136" s="235" t="e">
        <f>BZ136/((BZ109+1)*(BZ109/2))</f>
        <v>#REF!</v>
      </c>
      <c r="CC136" s="235"/>
      <c r="CD136" s="235"/>
      <c r="CE136" s="305" t="e">
        <f>CB136*CD109</f>
        <v>#REF!</v>
      </c>
      <c r="CF136" s="305"/>
      <c r="CG136" s="305" t="e">
        <f>IF(CE136&gt;0,BV109-CE136,0)</f>
        <v>#REF!</v>
      </c>
      <c r="CH136" s="226"/>
      <c r="CL136" s="234" t="e">
        <f>IF((CN109+1)-CN136&lt;(CN109+1),(CN109+1)-CN136," ")</f>
        <v>#REF!</v>
      </c>
      <c r="CM136" s="235"/>
      <c r="CN136" s="235" t="e">
        <f t="shared" si="16"/>
        <v>#REF!</v>
      </c>
      <c r="CO136" s="235"/>
      <c r="CP136" s="235" t="e">
        <f>CN136/((CN109+1)*(CN109/2))</f>
        <v>#REF!</v>
      </c>
      <c r="CQ136" s="235"/>
      <c r="CR136" s="235"/>
      <c r="CS136" s="305" t="e">
        <f>CP136*CR109</f>
        <v>#REF!</v>
      </c>
      <c r="CT136" s="305"/>
      <c r="CU136" s="305" t="e">
        <f>IF(CS136&gt;0,CJ109-CS136,0)</f>
        <v>#REF!</v>
      </c>
      <c r="CV136" s="226"/>
    </row>
    <row r="137" spans="6:100" ht="12.75" hidden="1">
      <c r="F137" s="384" t="e">
        <f>C137*#REF!</f>
        <v>#REF!</v>
      </c>
      <c r="I137" s="234" t="str">
        <f>IF((K109+1)-K137&lt;(K109+1),(K109+1)-K137," ")</f>
        <v> </v>
      </c>
      <c r="J137" s="235"/>
      <c r="K137" s="235">
        <f t="shared" si="13"/>
        <v>0</v>
      </c>
      <c r="L137" s="235"/>
      <c r="M137" s="235"/>
      <c r="N137" s="235"/>
      <c r="O137" s="305" t="e">
        <f>#REF!*N109</f>
        <v>#REF!</v>
      </c>
      <c r="P137" s="305"/>
      <c r="Q137" s="305" t="e">
        <f>IF(O137&gt;0,G109-O137,0)</f>
        <v>#REF!</v>
      </c>
      <c r="R137" s="226"/>
      <c r="U137" s="234" t="str">
        <f>IF((W110+1)-W137&lt;(W110+1),(W110+1)-W137," ")</f>
        <v> </v>
      </c>
      <c r="V137" s="235"/>
      <c r="W137" s="235">
        <f t="shared" si="17"/>
        <v>0</v>
      </c>
      <c r="X137" s="235"/>
      <c r="Y137" s="235" t="e">
        <f>W137/((W110+1)*(W110/2))</f>
        <v>#DIV/0!</v>
      </c>
      <c r="Z137" s="235"/>
      <c r="AA137" s="235"/>
      <c r="AB137" s="305" t="e">
        <f>Y137*AA110</f>
        <v>#DIV/0!</v>
      </c>
      <c r="AC137" s="305"/>
      <c r="AD137" s="305" t="e">
        <f>IF(AB137&gt;0,S110-AB137,0)</f>
        <v>#DIV/0!</v>
      </c>
      <c r="AE137" s="226"/>
      <c r="AO137" s="234" t="str">
        <f>IF((AQ110+1)-AQ137&lt;(AQ110+1),(AQ110+1)-AQ137," ")</f>
        <v> </v>
      </c>
      <c r="AP137" s="235"/>
      <c r="AQ137" s="235">
        <f t="shared" si="18"/>
        <v>0</v>
      </c>
      <c r="AR137" s="235"/>
      <c r="AS137" s="235">
        <f>AQ137/((AQ110+1)*(AQ110/2))</f>
        <v>0</v>
      </c>
      <c r="AT137" s="235"/>
      <c r="AU137" s="235"/>
      <c r="AV137" s="305">
        <f>AS137*AU110</f>
        <v>0</v>
      </c>
      <c r="AW137" s="305"/>
      <c r="AX137" s="305">
        <f>IF(AV137&gt;0,AM110-AV137,0)</f>
        <v>0</v>
      </c>
      <c r="AY137" s="226"/>
      <c r="BJ137" s="234" t="str">
        <f>IF((BL109+1)-BL137&lt;(BL109+1),(BL109+1)-BL137," ")</f>
        <v> </v>
      </c>
      <c r="BK137" s="235"/>
      <c r="BL137" s="235">
        <f t="shared" si="14"/>
        <v>0</v>
      </c>
      <c r="BM137" s="235"/>
      <c r="BN137" s="235">
        <f>BL137/((BL109+1)*(BL109/2))</f>
        <v>0</v>
      </c>
      <c r="BO137" s="235"/>
      <c r="BP137" s="235"/>
      <c r="BQ137" s="305">
        <f>BN137*BP109</f>
        <v>0</v>
      </c>
      <c r="BR137" s="305"/>
      <c r="BS137" s="305">
        <f>IF(BQ137&gt;0,BH109-BQ137,0)</f>
        <v>0</v>
      </c>
      <c r="BT137" s="226"/>
      <c r="BX137" s="234" t="e">
        <f>IF((BZ109+1)-BZ137&lt;(BZ109+1),(BZ109+1)-BZ137," ")</f>
        <v>#REF!</v>
      </c>
      <c r="BY137" s="235"/>
      <c r="BZ137" s="235" t="e">
        <f t="shared" si="15"/>
        <v>#REF!</v>
      </c>
      <c r="CA137" s="235"/>
      <c r="CB137" s="235" t="e">
        <f>BZ137/((BZ109+1)*(BZ109/2))</f>
        <v>#REF!</v>
      </c>
      <c r="CC137" s="235"/>
      <c r="CD137" s="235"/>
      <c r="CE137" s="305" t="e">
        <f>CB137*CD109</f>
        <v>#REF!</v>
      </c>
      <c r="CF137" s="305"/>
      <c r="CG137" s="305" t="e">
        <f>IF(CE137&gt;0,BV109-CE137,0)</f>
        <v>#REF!</v>
      </c>
      <c r="CH137" s="226"/>
      <c r="CL137" s="234" t="e">
        <f>IF((CN109+1)-CN137&lt;(CN109+1),(CN109+1)-CN137," ")</f>
        <v>#REF!</v>
      </c>
      <c r="CM137" s="235"/>
      <c r="CN137" s="235" t="e">
        <f t="shared" si="16"/>
        <v>#REF!</v>
      </c>
      <c r="CO137" s="235"/>
      <c r="CP137" s="235" t="e">
        <f>CN137/((CN109+1)*(CN109/2))</f>
        <v>#REF!</v>
      </c>
      <c r="CQ137" s="235"/>
      <c r="CR137" s="235"/>
      <c r="CS137" s="305" t="e">
        <f>CP137*CR109</f>
        <v>#REF!</v>
      </c>
      <c r="CT137" s="305"/>
      <c r="CU137" s="305" t="e">
        <f>IF(CS137&gt;0,CJ109-CS137,0)</f>
        <v>#REF!</v>
      </c>
      <c r="CV137" s="226"/>
    </row>
    <row r="138" spans="6:100" ht="12.75" hidden="1">
      <c r="F138" s="384" t="e">
        <f>C138*#REF!</f>
        <v>#REF!</v>
      </c>
      <c r="I138" s="234" t="str">
        <f>IF((K109+1)-K138&lt;(K109+1),(K109+1)-K138," ")</f>
        <v> </v>
      </c>
      <c r="J138" s="235"/>
      <c r="K138" s="235">
        <f t="shared" si="13"/>
        <v>0</v>
      </c>
      <c r="L138" s="235"/>
      <c r="M138" s="235"/>
      <c r="N138" s="235"/>
      <c r="O138" s="305" t="e">
        <f>#REF!*N109</f>
        <v>#REF!</v>
      </c>
      <c r="P138" s="305"/>
      <c r="Q138" s="305" t="e">
        <f>IF(O138&gt;0,G109-O138,0)</f>
        <v>#REF!</v>
      </c>
      <c r="R138" s="226"/>
      <c r="U138" s="234" t="str">
        <f>IF((W110+1)-W138&lt;(W110+1),(W110+1)-W138," ")</f>
        <v> </v>
      </c>
      <c r="V138" s="235"/>
      <c r="W138" s="235">
        <f t="shared" si="17"/>
        <v>0</v>
      </c>
      <c r="X138" s="235"/>
      <c r="Y138" s="235" t="e">
        <f>W138/((W110+1)*(W110/2))</f>
        <v>#DIV/0!</v>
      </c>
      <c r="Z138" s="235"/>
      <c r="AA138" s="235"/>
      <c r="AB138" s="305" t="e">
        <f>Y138*AA110</f>
        <v>#DIV/0!</v>
      </c>
      <c r="AC138" s="305"/>
      <c r="AD138" s="305" t="e">
        <f>IF(AB138&gt;0,S110-AB138,0)</f>
        <v>#DIV/0!</v>
      </c>
      <c r="AE138" s="226"/>
      <c r="AO138" s="234" t="str">
        <f>IF((AQ110+1)-AQ138&lt;(AQ110+1),(AQ110+1)-AQ138," ")</f>
        <v> </v>
      </c>
      <c r="AP138" s="235"/>
      <c r="AQ138" s="235">
        <f t="shared" si="18"/>
        <v>0</v>
      </c>
      <c r="AR138" s="235"/>
      <c r="AS138" s="235">
        <f>AQ138/((AQ110+1)*(AQ110/2))</f>
        <v>0</v>
      </c>
      <c r="AT138" s="235"/>
      <c r="AU138" s="235"/>
      <c r="AV138" s="305">
        <f>AS138*AU110</f>
        <v>0</v>
      </c>
      <c r="AW138" s="305"/>
      <c r="AX138" s="305">
        <f>IF(AV138&gt;0,AM110-AV138,0)</f>
        <v>0</v>
      </c>
      <c r="AY138" s="226"/>
      <c r="BJ138" s="234" t="str">
        <f>IF((BL109+1)-BL138&lt;(BL109+1),(BL109+1)-BL138," ")</f>
        <v> </v>
      </c>
      <c r="BK138" s="235"/>
      <c r="BL138" s="235">
        <f t="shared" si="14"/>
        <v>0</v>
      </c>
      <c r="BM138" s="235"/>
      <c r="BN138" s="235">
        <f>BL138/((BL109+1)*(BL109/2))</f>
        <v>0</v>
      </c>
      <c r="BO138" s="235"/>
      <c r="BP138" s="235"/>
      <c r="BQ138" s="305">
        <f>BN138*BP109</f>
        <v>0</v>
      </c>
      <c r="BR138" s="305"/>
      <c r="BS138" s="305">
        <f>IF(BQ138&gt;0,BH109-BQ138,0)</f>
        <v>0</v>
      </c>
      <c r="BT138" s="226"/>
      <c r="BX138" s="234" t="e">
        <f>IF((BZ109+1)-BZ138&lt;(BZ109+1),(BZ109+1)-BZ138," ")</f>
        <v>#REF!</v>
      </c>
      <c r="BY138" s="235"/>
      <c r="BZ138" s="235" t="e">
        <f t="shared" si="15"/>
        <v>#REF!</v>
      </c>
      <c r="CA138" s="235"/>
      <c r="CB138" s="235" t="e">
        <f>BZ138/((BZ109+1)*(BZ109/2))</f>
        <v>#REF!</v>
      </c>
      <c r="CC138" s="235"/>
      <c r="CD138" s="235"/>
      <c r="CE138" s="305" t="e">
        <f>CB138*CD109</f>
        <v>#REF!</v>
      </c>
      <c r="CF138" s="305"/>
      <c r="CG138" s="305" t="e">
        <f>IF(CE138&gt;0,BV109-CE138,0)</f>
        <v>#REF!</v>
      </c>
      <c r="CH138" s="226"/>
      <c r="CL138" s="234" t="e">
        <f>IF((CN109+1)-CN138&lt;(CN109+1),(CN109+1)-CN138," ")</f>
        <v>#REF!</v>
      </c>
      <c r="CM138" s="235"/>
      <c r="CN138" s="235" t="e">
        <f t="shared" si="16"/>
        <v>#REF!</v>
      </c>
      <c r="CO138" s="235"/>
      <c r="CP138" s="235" t="e">
        <f>CN138/((CN109+1)*(CN109/2))</f>
        <v>#REF!</v>
      </c>
      <c r="CQ138" s="235"/>
      <c r="CR138" s="235"/>
      <c r="CS138" s="305" t="e">
        <f>CP138*CR109</f>
        <v>#REF!</v>
      </c>
      <c r="CT138" s="305"/>
      <c r="CU138" s="305" t="e">
        <f>IF(CS138&gt;0,CJ109-CS138,0)</f>
        <v>#REF!</v>
      </c>
      <c r="CV138" s="226"/>
    </row>
    <row r="139" spans="6:100" ht="12.75" hidden="1">
      <c r="F139" s="384" t="e">
        <f>C139*#REF!</f>
        <v>#REF!</v>
      </c>
      <c r="I139" s="234" t="str">
        <f>IF((K109+1)-K139&lt;(K109+1),(K109+1)-K139," ")</f>
        <v> </v>
      </c>
      <c r="J139" s="235"/>
      <c r="K139" s="235">
        <f t="shared" si="13"/>
        <v>0</v>
      </c>
      <c r="L139" s="235"/>
      <c r="M139" s="235"/>
      <c r="N139" s="235"/>
      <c r="O139" s="305" t="e">
        <f>#REF!*N109</f>
        <v>#REF!</v>
      </c>
      <c r="P139" s="305"/>
      <c r="Q139" s="305" t="e">
        <f>IF(O139&gt;0,G109-O139,0)</f>
        <v>#REF!</v>
      </c>
      <c r="R139" s="226"/>
      <c r="U139" s="234" t="str">
        <f>IF((W110+1)-W139&lt;(W110+1),(W110+1)-W139," ")</f>
        <v> </v>
      </c>
      <c r="V139" s="235"/>
      <c r="W139" s="235">
        <f t="shared" si="17"/>
        <v>0</v>
      </c>
      <c r="X139" s="235"/>
      <c r="Y139" s="235" t="e">
        <f>W139/((W110+1)*(W110/2))</f>
        <v>#DIV/0!</v>
      </c>
      <c r="Z139" s="235"/>
      <c r="AA139" s="235"/>
      <c r="AB139" s="305" t="e">
        <f>Y139*AA110</f>
        <v>#DIV/0!</v>
      </c>
      <c r="AC139" s="305"/>
      <c r="AD139" s="305" t="e">
        <f>IF(AB139&gt;0,S110-AB139,0)</f>
        <v>#DIV/0!</v>
      </c>
      <c r="AE139" s="226"/>
      <c r="AO139" s="234" t="str">
        <f>IF((AQ110+1)-AQ139&lt;(AQ110+1),(AQ110+1)-AQ139," ")</f>
        <v> </v>
      </c>
      <c r="AP139" s="235"/>
      <c r="AQ139" s="235">
        <f t="shared" si="18"/>
        <v>0</v>
      </c>
      <c r="AR139" s="235"/>
      <c r="AS139" s="235">
        <f>AQ139/((AQ110+1)*(AQ110/2))</f>
        <v>0</v>
      </c>
      <c r="AT139" s="235"/>
      <c r="AU139" s="235"/>
      <c r="AV139" s="305">
        <f>AS139*AU110</f>
        <v>0</v>
      </c>
      <c r="AW139" s="305"/>
      <c r="AX139" s="305">
        <f>IF(AV139&gt;0,AM110-AV139,0)</f>
        <v>0</v>
      </c>
      <c r="AY139" s="226"/>
      <c r="BJ139" s="234" t="str">
        <f>IF((BL109+1)-BL139&lt;(BL109+1),(BL109+1)-BL139," ")</f>
        <v> </v>
      </c>
      <c r="BK139" s="235"/>
      <c r="BL139" s="235">
        <f t="shared" si="14"/>
        <v>0</v>
      </c>
      <c r="BM139" s="235"/>
      <c r="BN139" s="235">
        <f>BL139/((BL109+1)*(BL109/2))</f>
        <v>0</v>
      </c>
      <c r="BO139" s="235"/>
      <c r="BP139" s="235"/>
      <c r="BQ139" s="305">
        <f>BN139*BP109</f>
        <v>0</v>
      </c>
      <c r="BR139" s="305"/>
      <c r="BS139" s="305">
        <f>IF(BQ139&gt;0,BH109-BQ139,0)</f>
        <v>0</v>
      </c>
      <c r="BT139" s="226"/>
      <c r="BX139" s="234" t="e">
        <f>IF((BZ109+1)-BZ139&lt;(BZ109+1),(BZ109+1)-BZ139," ")</f>
        <v>#REF!</v>
      </c>
      <c r="BY139" s="235"/>
      <c r="BZ139" s="235" t="e">
        <f t="shared" si="15"/>
        <v>#REF!</v>
      </c>
      <c r="CA139" s="235"/>
      <c r="CB139" s="235" t="e">
        <f>BZ139/((BZ109+1)*(BZ109/2))</f>
        <v>#REF!</v>
      </c>
      <c r="CC139" s="235"/>
      <c r="CD139" s="235"/>
      <c r="CE139" s="305" t="e">
        <f>CB139*CD109</f>
        <v>#REF!</v>
      </c>
      <c r="CF139" s="305"/>
      <c r="CG139" s="305" t="e">
        <f>IF(CE139&gt;0,BV109-CE139,0)</f>
        <v>#REF!</v>
      </c>
      <c r="CH139" s="226"/>
      <c r="CL139" s="234" t="e">
        <f>IF((CN109+1)-CN139&lt;(CN109+1),(CN109+1)-CN139," ")</f>
        <v>#REF!</v>
      </c>
      <c r="CM139" s="235"/>
      <c r="CN139" s="235" t="e">
        <f t="shared" si="16"/>
        <v>#REF!</v>
      </c>
      <c r="CO139" s="235"/>
      <c r="CP139" s="235" t="e">
        <f>CN139/((CN109+1)*(CN109/2))</f>
        <v>#REF!</v>
      </c>
      <c r="CQ139" s="235"/>
      <c r="CR139" s="235"/>
      <c r="CS139" s="305" t="e">
        <f>CP139*CR109</f>
        <v>#REF!</v>
      </c>
      <c r="CT139" s="305"/>
      <c r="CU139" s="305" t="e">
        <f>IF(CS139&gt;0,CJ109-CS139,0)</f>
        <v>#REF!</v>
      </c>
      <c r="CV139" s="226"/>
    </row>
    <row r="140" spans="6:100" ht="12.75" hidden="1">
      <c r="F140" s="384" t="e">
        <f>C140*#REF!</f>
        <v>#REF!</v>
      </c>
      <c r="I140" s="234" t="str">
        <f>IF((K109+1)-K140&lt;(K109+1),(K109+1)-K140," ")</f>
        <v> </v>
      </c>
      <c r="J140" s="235"/>
      <c r="K140" s="235">
        <f t="shared" si="13"/>
        <v>0</v>
      </c>
      <c r="L140" s="235"/>
      <c r="M140" s="235"/>
      <c r="N140" s="235"/>
      <c r="O140" s="305" t="e">
        <f>#REF!*N109</f>
        <v>#REF!</v>
      </c>
      <c r="P140" s="305"/>
      <c r="Q140" s="305" t="e">
        <f>IF(O140&gt;0,G109-O140,0)</f>
        <v>#REF!</v>
      </c>
      <c r="R140" s="226"/>
      <c r="U140" s="234" t="str">
        <f>IF((W110+1)-W140&lt;(W110+1),(W110+1)-W140," ")</f>
        <v> </v>
      </c>
      <c r="V140" s="235"/>
      <c r="W140" s="235">
        <f t="shared" si="17"/>
        <v>0</v>
      </c>
      <c r="X140" s="235"/>
      <c r="Y140" s="235" t="e">
        <f>W140/((W110+1)*(W110/2))</f>
        <v>#DIV/0!</v>
      </c>
      <c r="Z140" s="235"/>
      <c r="AA140" s="235"/>
      <c r="AB140" s="305" t="e">
        <f>Y140*AA110</f>
        <v>#DIV/0!</v>
      </c>
      <c r="AC140" s="305"/>
      <c r="AD140" s="305" t="e">
        <f>IF(AB140&gt;0,S110-AB140,0)</f>
        <v>#DIV/0!</v>
      </c>
      <c r="AE140" s="226"/>
      <c r="AO140" s="234" t="str">
        <f>IF((AQ110+1)-AQ140&lt;(AQ110+1),(AQ110+1)-AQ140," ")</f>
        <v> </v>
      </c>
      <c r="AP140" s="235"/>
      <c r="AQ140" s="235">
        <f t="shared" si="18"/>
        <v>0</v>
      </c>
      <c r="AR140" s="235"/>
      <c r="AS140" s="235">
        <f>AQ140/((AQ110+1)*(AQ110/2))</f>
        <v>0</v>
      </c>
      <c r="AT140" s="235"/>
      <c r="AU140" s="235"/>
      <c r="AV140" s="305">
        <f>AS140*AU110</f>
        <v>0</v>
      </c>
      <c r="AW140" s="305"/>
      <c r="AX140" s="305">
        <f>IF(AV140&gt;0,AM110-AV140,0)</f>
        <v>0</v>
      </c>
      <c r="AY140" s="226"/>
      <c r="BJ140" s="234" t="str">
        <f>IF((BL109+1)-BL140&lt;(BL109+1),(BL109+1)-BL140," ")</f>
        <v> </v>
      </c>
      <c r="BK140" s="235"/>
      <c r="BL140" s="235">
        <f t="shared" si="14"/>
        <v>0</v>
      </c>
      <c r="BM140" s="235"/>
      <c r="BN140" s="235">
        <f>BL140/((BL109+1)*(BL109/2))</f>
        <v>0</v>
      </c>
      <c r="BO140" s="235"/>
      <c r="BP140" s="235"/>
      <c r="BQ140" s="305">
        <f>BN140*BP109</f>
        <v>0</v>
      </c>
      <c r="BR140" s="305"/>
      <c r="BS140" s="305">
        <f>IF(BQ140&gt;0,BH109-BQ140,0)</f>
        <v>0</v>
      </c>
      <c r="BT140" s="226"/>
      <c r="BX140" s="234" t="e">
        <f>IF((BZ109+1)-BZ140&lt;(BZ109+1),(BZ109+1)-BZ140," ")</f>
        <v>#REF!</v>
      </c>
      <c r="BY140" s="235"/>
      <c r="BZ140" s="235" t="e">
        <f t="shared" si="15"/>
        <v>#REF!</v>
      </c>
      <c r="CA140" s="235"/>
      <c r="CB140" s="235" t="e">
        <f>BZ140/((BZ109+1)*(BZ109/2))</f>
        <v>#REF!</v>
      </c>
      <c r="CC140" s="235"/>
      <c r="CD140" s="235"/>
      <c r="CE140" s="305" t="e">
        <f>CB140*CD109</f>
        <v>#REF!</v>
      </c>
      <c r="CF140" s="305"/>
      <c r="CG140" s="305" t="e">
        <f>IF(CE140&gt;0,BV109-CE140,0)</f>
        <v>#REF!</v>
      </c>
      <c r="CH140" s="226"/>
      <c r="CL140" s="234" t="e">
        <f>IF((CN109+1)-CN140&lt;(CN109+1),(CN109+1)-CN140," ")</f>
        <v>#REF!</v>
      </c>
      <c r="CM140" s="235"/>
      <c r="CN140" s="235" t="e">
        <f t="shared" si="16"/>
        <v>#REF!</v>
      </c>
      <c r="CO140" s="235"/>
      <c r="CP140" s="235" t="e">
        <f>CN140/((CN109+1)*(CN109/2))</f>
        <v>#REF!</v>
      </c>
      <c r="CQ140" s="235"/>
      <c r="CR140" s="235"/>
      <c r="CS140" s="305" t="e">
        <f>CP140*CR109</f>
        <v>#REF!</v>
      </c>
      <c r="CT140" s="305"/>
      <c r="CU140" s="305" t="e">
        <f>IF(CS140&gt;0,CJ109-CS140,0)</f>
        <v>#REF!</v>
      </c>
      <c r="CV140" s="226"/>
    </row>
    <row r="141" spans="6:100" ht="12.75" hidden="1">
      <c r="F141" s="384" t="e">
        <f>C141*#REF!</f>
        <v>#REF!</v>
      </c>
      <c r="I141" s="234" t="str">
        <f>IF((K109+1)-K141&lt;(K109+1),(K109+1)-K141," ")</f>
        <v> </v>
      </c>
      <c r="J141" s="235"/>
      <c r="K141" s="235">
        <f t="shared" si="13"/>
        <v>0</v>
      </c>
      <c r="L141" s="235"/>
      <c r="M141" s="235"/>
      <c r="N141" s="235"/>
      <c r="O141" s="305" t="e">
        <f>#REF!*N109</f>
        <v>#REF!</v>
      </c>
      <c r="P141" s="305"/>
      <c r="Q141" s="305" t="e">
        <f>IF(O141&gt;0,G109-O141,0)</f>
        <v>#REF!</v>
      </c>
      <c r="R141" s="226"/>
      <c r="U141" s="234" t="str">
        <f>IF((W110+1)-W141&lt;(W110+1),(W110+1)-W141," ")</f>
        <v> </v>
      </c>
      <c r="V141" s="235"/>
      <c r="W141" s="235">
        <f t="shared" si="17"/>
        <v>0</v>
      </c>
      <c r="X141" s="235"/>
      <c r="Y141" s="235" t="e">
        <f>W141/((W110+1)*(W110/2))</f>
        <v>#DIV/0!</v>
      </c>
      <c r="Z141" s="235"/>
      <c r="AA141" s="235"/>
      <c r="AB141" s="305" t="e">
        <f>Y141*AA110</f>
        <v>#DIV/0!</v>
      </c>
      <c r="AC141" s="305"/>
      <c r="AD141" s="305" t="e">
        <f>IF(AB141&gt;0,S110-AB141,0)</f>
        <v>#DIV/0!</v>
      </c>
      <c r="AE141" s="226"/>
      <c r="AO141" s="234" t="str">
        <f>IF((AQ110+1)-AQ141&lt;(AQ110+1),(AQ110+1)-AQ141," ")</f>
        <v> </v>
      </c>
      <c r="AP141" s="235"/>
      <c r="AQ141" s="235">
        <f t="shared" si="18"/>
        <v>0</v>
      </c>
      <c r="AR141" s="235"/>
      <c r="AS141" s="235">
        <f>AQ141/((AQ110+1)*(AQ110/2))</f>
        <v>0</v>
      </c>
      <c r="AT141" s="235"/>
      <c r="AU141" s="235"/>
      <c r="AV141" s="305">
        <f>AS141*AU110</f>
        <v>0</v>
      </c>
      <c r="AW141" s="305"/>
      <c r="AX141" s="305">
        <f>IF(AV141&gt;0,AM110-AV141,0)</f>
        <v>0</v>
      </c>
      <c r="AY141" s="226"/>
      <c r="BJ141" s="234" t="str">
        <f>IF((BL109+1)-BL141&lt;(BL109+1),(BL109+1)-BL141," ")</f>
        <v> </v>
      </c>
      <c r="BK141" s="235"/>
      <c r="BL141" s="235">
        <f t="shared" si="14"/>
        <v>0</v>
      </c>
      <c r="BM141" s="235"/>
      <c r="BN141" s="235">
        <f>BL141/((BL109+1)*(BL109/2))</f>
        <v>0</v>
      </c>
      <c r="BO141" s="235"/>
      <c r="BP141" s="235"/>
      <c r="BQ141" s="305">
        <f>BN141*BP109</f>
        <v>0</v>
      </c>
      <c r="BR141" s="305"/>
      <c r="BS141" s="305">
        <f>IF(BQ141&gt;0,BH109-BQ141,0)</f>
        <v>0</v>
      </c>
      <c r="BT141" s="226"/>
      <c r="BX141" s="234" t="e">
        <f>IF((BZ109+1)-BZ141&lt;(BZ109+1),(BZ109+1)-BZ141," ")</f>
        <v>#REF!</v>
      </c>
      <c r="BY141" s="235"/>
      <c r="BZ141" s="235" t="e">
        <f t="shared" si="15"/>
        <v>#REF!</v>
      </c>
      <c r="CA141" s="235"/>
      <c r="CB141" s="235" t="e">
        <f>BZ141/((BZ109+1)*(BZ109/2))</f>
        <v>#REF!</v>
      </c>
      <c r="CC141" s="235"/>
      <c r="CD141" s="235"/>
      <c r="CE141" s="305" t="e">
        <f>CB141*CD109</f>
        <v>#REF!</v>
      </c>
      <c r="CF141" s="305"/>
      <c r="CG141" s="305" t="e">
        <f>IF(CE141&gt;0,BV109-CE141,0)</f>
        <v>#REF!</v>
      </c>
      <c r="CH141" s="226"/>
      <c r="CL141" s="234" t="e">
        <f>IF((CN109+1)-CN141&lt;(CN109+1),(CN109+1)-CN141," ")</f>
        <v>#REF!</v>
      </c>
      <c r="CM141" s="235"/>
      <c r="CN141" s="235" t="e">
        <f t="shared" si="16"/>
        <v>#REF!</v>
      </c>
      <c r="CO141" s="235"/>
      <c r="CP141" s="235" t="e">
        <f>CN141/((CN109+1)*(CN109/2))</f>
        <v>#REF!</v>
      </c>
      <c r="CQ141" s="235"/>
      <c r="CR141" s="235"/>
      <c r="CS141" s="305" t="e">
        <f>CP141*CR109</f>
        <v>#REF!</v>
      </c>
      <c r="CT141" s="305"/>
      <c r="CU141" s="305" t="e">
        <f>IF(CS141&gt;0,CJ109-CS141,0)</f>
        <v>#REF!</v>
      </c>
      <c r="CV141" s="226"/>
    </row>
    <row r="142" spans="6:100" ht="12.75" hidden="1">
      <c r="F142" s="384" t="e">
        <f>C142*#REF!</f>
        <v>#REF!</v>
      </c>
      <c r="I142" s="234" t="str">
        <f>IF((K109+1)-K142&lt;(K109+1),(K109+1)-K142," ")</f>
        <v> </v>
      </c>
      <c r="J142" s="235"/>
      <c r="K142" s="235">
        <f aca="true" t="shared" si="19" ref="K142:K169">IF(K141-1&gt;0,K141-1,0)</f>
        <v>0</v>
      </c>
      <c r="L142" s="235"/>
      <c r="M142" s="235"/>
      <c r="N142" s="235"/>
      <c r="O142" s="305" t="e">
        <f>#REF!*N109</f>
        <v>#REF!</v>
      </c>
      <c r="P142" s="305"/>
      <c r="Q142" s="305" t="e">
        <f>IF(O142&gt;0,G109-O142,0)</f>
        <v>#REF!</v>
      </c>
      <c r="R142" s="226"/>
      <c r="U142" s="234" t="str">
        <f>IF((W110+1)-W142&lt;(W110+1),(W110+1)-W142," ")</f>
        <v> </v>
      </c>
      <c r="V142" s="235"/>
      <c r="W142" s="235">
        <f t="shared" si="17"/>
        <v>0</v>
      </c>
      <c r="X142" s="235"/>
      <c r="Y142" s="235" t="e">
        <f>W142/((W110+1)*(W110/2))</f>
        <v>#DIV/0!</v>
      </c>
      <c r="Z142" s="235"/>
      <c r="AA142" s="235"/>
      <c r="AB142" s="305" t="e">
        <f>Y142*AA110</f>
        <v>#DIV/0!</v>
      </c>
      <c r="AC142" s="305"/>
      <c r="AD142" s="305" t="e">
        <f>IF(AB142&gt;0,S110-AB142,0)</f>
        <v>#DIV/0!</v>
      </c>
      <c r="AE142" s="226"/>
      <c r="AO142" s="234" t="str">
        <f>IF((AQ110+1)-AQ142&lt;(AQ110+1),(AQ110+1)-AQ142," ")</f>
        <v> </v>
      </c>
      <c r="AP142" s="235"/>
      <c r="AQ142" s="235">
        <f t="shared" si="18"/>
        <v>0</v>
      </c>
      <c r="AR142" s="235"/>
      <c r="AS142" s="235">
        <f>AQ142/((AQ110+1)*(AQ110/2))</f>
        <v>0</v>
      </c>
      <c r="AT142" s="235"/>
      <c r="AU142" s="235"/>
      <c r="AV142" s="305">
        <f>AS142*AU110</f>
        <v>0</v>
      </c>
      <c r="AW142" s="305"/>
      <c r="AX142" s="305">
        <f>IF(AV142&gt;0,AM110-AV142,0)</f>
        <v>0</v>
      </c>
      <c r="AY142" s="226"/>
      <c r="BJ142" s="234" t="str">
        <f>IF((BL109+1)-BL142&lt;(BL109+1),(BL109+1)-BL142," ")</f>
        <v> </v>
      </c>
      <c r="BK142" s="235"/>
      <c r="BL142" s="235">
        <f aca="true" t="shared" si="20" ref="BL142:BL169">IF(BL141-1&gt;0,BL141-1,0)</f>
        <v>0</v>
      </c>
      <c r="BM142" s="235"/>
      <c r="BN142" s="235">
        <f>BL142/((BL109+1)*(BL109/2))</f>
        <v>0</v>
      </c>
      <c r="BO142" s="235"/>
      <c r="BP142" s="235"/>
      <c r="BQ142" s="305">
        <f>BN142*BP109</f>
        <v>0</v>
      </c>
      <c r="BR142" s="305"/>
      <c r="BS142" s="305">
        <f>IF(BQ142&gt;0,BH109-BQ142,0)</f>
        <v>0</v>
      </c>
      <c r="BT142" s="226"/>
      <c r="BX142" s="234" t="e">
        <f>IF((BZ109+1)-BZ142&lt;(BZ109+1),(BZ109+1)-BZ142," ")</f>
        <v>#REF!</v>
      </c>
      <c r="BY142" s="235"/>
      <c r="BZ142" s="235" t="e">
        <f aca="true" t="shared" si="21" ref="BZ142:BZ169">IF(BZ141-1&gt;0,BZ141-1,0)</f>
        <v>#REF!</v>
      </c>
      <c r="CA142" s="235"/>
      <c r="CB142" s="235" t="e">
        <f>BZ142/((BZ109+1)*(BZ109/2))</f>
        <v>#REF!</v>
      </c>
      <c r="CC142" s="235"/>
      <c r="CD142" s="235"/>
      <c r="CE142" s="305" t="e">
        <f>CB142*CD109</f>
        <v>#REF!</v>
      </c>
      <c r="CF142" s="305"/>
      <c r="CG142" s="305" t="e">
        <f>IF(CE142&gt;0,BV109-CE142,0)</f>
        <v>#REF!</v>
      </c>
      <c r="CH142" s="226"/>
      <c r="CL142" s="234" t="e">
        <f>IF((CN109+1)-CN142&lt;(CN109+1),(CN109+1)-CN142," ")</f>
        <v>#REF!</v>
      </c>
      <c r="CM142" s="235"/>
      <c r="CN142" s="235" t="e">
        <f aca="true" t="shared" si="22" ref="CN142:CN169">IF(CN141-1&gt;0,CN141-1,0)</f>
        <v>#REF!</v>
      </c>
      <c r="CO142" s="235"/>
      <c r="CP142" s="235" t="e">
        <f>CN142/((CN109+1)*(CN109/2))</f>
        <v>#REF!</v>
      </c>
      <c r="CQ142" s="235"/>
      <c r="CR142" s="235"/>
      <c r="CS142" s="305" t="e">
        <f>CP142*CR109</f>
        <v>#REF!</v>
      </c>
      <c r="CT142" s="305"/>
      <c r="CU142" s="305" t="e">
        <f>IF(CS142&gt;0,CJ109-CS142,0)</f>
        <v>#REF!</v>
      </c>
      <c r="CV142" s="226"/>
    </row>
    <row r="143" spans="6:100" ht="12.75" hidden="1">
      <c r="F143" s="384" t="e">
        <f>C143*#REF!</f>
        <v>#REF!</v>
      </c>
      <c r="I143" s="234" t="str">
        <f>IF((K109+1)-K143&lt;(K109+1),(K109+1)-K143," ")</f>
        <v> </v>
      </c>
      <c r="J143" s="235"/>
      <c r="K143" s="235">
        <f t="shared" si="19"/>
        <v>0</v>
      </c>
      <c r="L143" s="235"/>
      <c r="M143" s="235"/>
      <c r="N143" s="235"/>
      <c r="O143" s="305" t="e">
        <f>#REF!*N109</f>
        <v>#REF!</v>
      </c>
      <c r="P143" s="305"/>
      <c r="Q143" s="305" t="e">
        <f>IF(O143&gt;0,G109-O143,0)</f>
        <v>#REF!</v>
      </c>
      <c r="R143" s="226"/>
      <c r="U143" s="234" t="str">
        <f>IF((W110+1)-W143&lt;(W110+1),(W110+1)-W143," ")</f>
        <v> </v>
      </c>
      <c r="V143" s="235"/>
      <c r="W143" s="235">
        <f aca="true" t="shared" si="23" ref="W143:W170">IF(W142-1&gt;0,W142-1,0)</f>
        <v>0</v>
      </c>
      <c r="X143" s="235"/>
      <c r="Y143" s="235" t="e">
        <f>W143/((W110+1)*(W110/2))</f>
        <v>#DIV/0!</v>
      </c>
      <c r="Z143" s="235"/>
      <c r="AA143" s="235"/>
      <c r="AB143" s="305" t="e">
        <f>Y143*AA110</f>
        <v>#DIV/0!</v>
      </c>
      <c r="AC143" s="305"/>
      <c r="AD143" s="305" t="e">
        <f>IF(AB143&gt;0,S110-AB143,0)</f>
        <v>#DIV/0!</v>
      </c>
      <c r="AE143" s="226"/>
      <c r="AO143" s="234" t="str">
        <f>IF((AQ110+1)-AQ143&lt;(AQ110+1),(AQ110+1)-AQ143," ")</f>
        <v> </v>
      </c>
      <c r="AP143" s="235"/>
      <c r="AQ143" s="235">
        <f aca="true" t="shared" si="24" ref="AQ143:AQ170">IF(AQ142-1&gt;0,AQ142-1,0)</f>
        <v>0</v>
      </c>
      <c r="AR143" s="235"/>
      <c r="AS143" s="235">
        <f>AQ143/((AQ110+1)*(AQ110/2))</f>
        <v>0</v>
      </c>
      <c r="AT143" s="235"/>
      <c r="AU143" s="235"/>
      <c r="AV143" s="305">
        <f>AS143*AU110</f>
        <v>0</v>
      </c>
      <c r="AW143" s="305"/>
      <c r="AX143" s="305">
        <f>IF(AV143&gt;0,AM110-AV143,0)</f>
        <v>0</v>
      </c>
      <c r="AY143" s="226"/>
      <c r="BJ143" s="234" t="str">
        <f>IF((BL109+1)-BL143&lt;(BL109+1),(BL109+1)-BL143," ")</f>
        <v> </v>
      </c>
      <c r="BK143" s="235"/>
      <c r="BL143" s="235">
        <f t="shared" si="20"/>
        <v>0</v>
      </c>
      <c r="BM143" s="235"/>
      <c r="BN143" s="235">
        <f>BL143/((BL109+1)*(BL109/2))</f>
        <v>0</v>
      </c>
      <c r="BO143" s="235"/>
      <c r="BP143" s="235"/>
      <c r="BQ143" s="305">
        <f>BN143*BP109</f>
        <v>0</v>
      </c>
      <c r="BR143" s="305"/>
      <c r="BS143" s="305">
        <f>IF(BQ143&gt;0,BH109-BQ143,0)</f>
        <v>0</v>
      </c>
      <c r="BT143" s="226"/>
      <c r="BX143" s="234" t="e">
        <f>IF((BZ109+1)-BZ143&lt;(BZ109+1),(BZ109+1)-BZ143," ")</f>
        <v>#REF!</v>
      </c>
      <c r="BY143" s="235"/>
      <c r="BZ143" s="235" t="e">
        <f t="shared" si="21"/>
        <v>#REF!</v>
      </c>
      <c r="CA143" s="235"/>
      <c r="CB143" s="235" t="e">
        <f>BZ143/((BZ109+1)*(BZ109/2))</f>
        <v>#REF!</v>
      </c>
      <c r="CC143" s="235"/>
      <c r="CD143" s="235"/>
      <c r="CE143" s="305" t="e">
        <f>CB143*CD109</f>
        <v>#REF!</v>
      </c>
      <c r="CF143" s="305"/>
      <c r="CG143" s="305" t="e">
        <f>IF(CE143&gt;0,BV109-CE143,0)</f>
        <v>#REF!</v>
      </c>
      <c r="CH143" s="226"/>
      <c r="CL143" s="234" t="e">
        <f>IF((CN109+1)-CN143&lt;(CN109+1),(CN109+1)-CN143," ")</f>
        <v>#REF!</v>
      </c>
      <c r="CM143" s="235"/>
      <c r="CN143" s="235" t="e">
        <f t="shared" si="22"/>
        <v>#REF!</v>
      </c>
      <c r="CO143" s="235"/>
      <c r="CP143" s="235" t="e">
        <f>CN143/((CN109+1)*(CN109/2))</f>
        <v>#REF!</v>
      </c>
      <c r="CQ143" s="235"/>
      <c r="CR143" s="235"/>
      <c r="CS143" s="305" t="e">
        <f>CP143*CR109</f>
        <v>#REF!</v>
      </c>
      <c r="CT143" s="305"/>
      <c r="CU143" s="305" t="e">
        <f>IF(CS143&gt;0,CJ109-CS143,0)</f>
        <v>#REF!</v>
      </c>
      <c r="CV143" s="226"/>
    </row>
    <row r="144" spans="6:100" ht="12.75" hidden="1">
      <c r="F144" s="384" t="e">
        <f>C144*#REF!</f>
        <v>#REF!</v>
      </c>
      <c r="I144" s="234" t="str">
        <f>IF((K109+1)-K144&lt;(K109+1),(K109+1)-K144," ")</f>
        <v> </v>
      </c>
      <c r="J144" s="235"/>
      <c r="K144" s="235">
        <f t="shared" si="19"/>
        <v>0</v>
      </c>
      <c r="L144" s="235"/>
      <c r="M144" s="235"/>
      <c r="N144" s="235"/>
      <c r="O144" s="305" t="e">
        <f>#REF!*N109</f>
        <v>#REF!</v>
      </c>
      <c r="P144" s="305"/>
      <c r="Q144" s="305" t="e">
        <f>IF(O144&gt;0,G109-O144,0)</f>
        <v>#REF!</v>
      </c>
      <c r="R144" s="226"/>
      <c r="U144" s="234" t="str">
        <f>IF((W110+1)-W144&lt;(W110+1),(W110+1)-W144," ")</f>
        <v> </v>
      </c>
      <c r="V144" s="235"/>
      <c r="W144" s="235">
        <f t="shared" si="23"/>
        <v>0</v>
      </c>
      <c r="X144" s="235"/>
      <c r="Y144" s="235" t="e">
        <f>W144/((W110+1)*(W110/2))</f>
        <v>#DIV/0!</v>
      </c>
      <c r="Z144" s="235"/>
      <c r="AA144" s="235"/>
      <c r="AB144" s="305" t="e">
        <f>Y144*AA110</f>
        <v>#DIV/0!</v>
      </c>
      <c r="AC144" s="305"/>
      <c r="AD144" s="305" t="e">
        <f>IF(AB144&gt;0,S110-AB144,0)</f>
        <v>#DIV/0!</v>
      </c>
      <c r="AE144" s="226"/>
      <c r="AO144" s="234" t="str">
        <f>IF((AQ110+1)-AQ144&lt;(AQ110+1),(AQ110+1)-AQ144," ")</f>
        <v> </v>
      </c>
      <c r="AP144" s="235"/>
      <c r="AQ144" s="235">
        <f t="shared" si="24"/>
        <v>0</v>
      </c>
      <c r="AR144" s="235"/>
      <c r="AS144" s="235">
        <f>AQ144/((AQ110+1)*(AQ110/2))</f>
        <v>0</v>
      </c>
      <c r="AT144" s="235"/>
      <c r="AU144" s="235"/>
      <c r="AV144" s="305">
        <f>AS144*AU110</f>
        <v>0</v>
      </c>
      <c r="AW144" s="305"/>
      <c r="AX144" s="305">
        <f>IF(AV144&gt;0,AM110-AV144,0)</f>
        <v>0</v>
      </c>
      <c r="AY144" s="226"/>
      <c r="BJ144" s="234" t="str">
        <f>IF((BL109+1)-BL144&lt;(BL109+1),(BL109+1)-BL144," ")</f>
        <v> </v>
      </c>
      <c r="BK144" s="235"/>
      <c r="BL144" s="235">
        <f t="shared" si="20"/>
        <v>0</v>
      </c>
      <c r="BM144" s="235"/>
      <c r="BN144" s="235">
        <f>BL144/((BL109+1)*(BL109/2))</f>
        <v>0</v>
      </c>
      <c r="BO144" s="235"/>
      <c r="BP144" s="235"/>
      <c r="BQ144" s="305">
        <f>BN144*BP109</f>
        <v>0</v>
      </c>
      <c r="BR144" s="305"/>
      <c r="BS144" s="305">
        <f>IF(BQ144&gt;0,BH109-BQ144,0)</f>
        <v>0</v>
      </c>
      <c r="BT144" s="226"/>
      <c r="BX144" s="234" t="e">
        <f>IF((BZ109+1)-BZ144&lt;(BZ109+1),(BZ109+1)-BZ144," ")</f>
        <v>#REF!</v>
      </c>
      <c r="BY144" s="235"/>
      <c r="BZ144" s="235" t="e">
        <f t="shared" si="21"/>
        <v>#REF!</v>
      </c>
      <c r="CA144" s="235"/>
      <c r="CB144" s="235" t="e">
        <f>BZ144/((BZ109+1)*(BZ109/2))</f>
        <v>#REF!</v>
      </c>
      <c r="CC144" s="235"/>
      <c r="CD144" s="235"/>
      <c r="CE144" s="305" t="e">
        <f>CB144*CD109</f>
        <v>#REF!</v>
      </c>
      <c r="CF144" s="305"/>
      <c r="CG144" s="305" t="e">
        <f>IF(CE144&gt;0,BV109-CE144,0)</f>
        <v>#REF!</v>
      </c>
      <c r="CH144" s="226"/>
      <c r="CL144" s="234" t="e">
        <f>IF((CN109+1)-CN144&lt;(CN109+1),(CN109+1)-CN144," ")</f>
        <v>#REF!</v>
      </c>
      <c r="CM144" s="235"/>
      <c r="CN144" s="235" t="e">
        <f t="shared" si="22"/>
        <v>#REF!</v>
      </c>
      <c r="CO144" s="235"/>
      <c r="CP144" s="235" t="e">
        <f>CN144/((CN109+1)*(CN109/2))</f>
        <v>#REF!</v>
      </c>
      <c r="CQ144" s="235"/>
      <c r="CR144" s="235"/>
      <c r="CS144" s="305" t="e">
        <f>CP144*CR109</f>
        <v>#REF!</v>
      </c>
      <c r="CT144" s="305"/>
      <c r="CU144" s="305" t="e">
        <f>IF(CS144&gt;0,CJ109-CS144,0)</f>
        <v>#REF!</v>
      </c>
      <c r="CV144" s="226"/>
    </row>
    <row r="145" spans="6:100" ht="12.75" hidden="1">
      <c r="F145" s="384" t="e">
        <f>C145*#REF!</f>
        <v>#REF!</v>
      </c>
      <c r="I145" s="234" t="str">
        <f>IF((K109+1)-K145&lt;(K109+1),(K109+1)-K145," ")</f>
        <v> </v>
      </c>
      <c r="J145" s="235"/>
      <c r="K145" s="235">
        <f t="shared" si="19"/>
        <v>0</v>
      </c>
      <c r="L145" s="235"/>
      <c r="M145" s="235"/>
      <c r="N145" s="235"/>
      <c r="O145" s="305" t="e">
        <f>#REF!*N109</f>
        <v>#REF!</v>
      </c>
      <c r="P145" s="305"/>
      <c r="Q145" s="305" t="e">
        <f>IF(O145&gt;0,G109-O145,0)</f>
        <v>#REF!</v>
      </c>
      <c r="R145" s="226"/>
      <c r="U145" s="234" t="str">
        <f>IF((W110+1)-W145&lt;(W110+1),(W110+1)-W145," ")</f>
        <v> </v>
      </c>
      <c r="V145" s="235"/>
      <c r="W145" s="235">
        <f t="shared" si="23"/>
        <v>0</v>
      </c>
      <c r="X145" s="235"/>
      <c r="Y145" s="235" t="e">
        <f>W145/((W110+1)*(W110/2))</f>
        <v>#DIV/0!</v>
      </c>
      <c r="Z145" s="235"/>
      <c r="AA145" s="235"/>
      <c r="AB145" s="305" t="e">
        <f>Y145*AA110</f>
        <v>#DIV/0!</v>
      </c>
      <c r="AC145" s="305"/>
      <c r="AD145" s="305" t="e">
        <f>IF(AB145&gt;0,S110-AB145,0)</f>
        <v>#DIV/0!</v>
      </c>
      <c r="AE145" s="226"/>
      <c r="AO145" s="234" t="str">
        <f>IF((AQ110+1)-AQ145&lt;(AQ110+1),(AQ110+1)-AQ145," ")</f>
        <v> </v>
      </c>
      <c r="AP145" s="235"/>
      <c r="AQ145" s="235">
        <f t="shared" si="24"/>
        <v>0</v>
      </c>
      <c r="AR145" s="235"/>
      <c r="AS145" s="235">
        <f>AQ145/((AQ110+1)*(AQ110/2))</f>
        <v>0</v>
      </c>
      <c r="AT145" s="235"/>
      <c r="AU145" s="235"/>
      <c r="AV145" s="305">
        <f>AS145*AU110</f>
        <v>0</v>
      </c>
      <c r="AW145" s="305"/>
      <c r="AX145" s="305">
        <f>IF(AV145&gt;0,AM110-AV145,0)</f>
        <v>0</v>
      </c>
      <c r="AY145" s="226"/>
      <c r="BJ145" s="234" t="str">
        <f>IF((BL109+1)-BL145&lt;(BL109+1),(BL109+1)-BL145," ")</f>
        <v> </v>
      </c>
      <c r="BK145" s="235"/>
      <c r="BL145" s="235">
        <f t="shared" si="20"/>
        <v>0</v>
      </c>
      <c r="BM145" s="235"/>
      <c r="BN145" s="235">
        <f>BL145/((BL109+1)*(BL109/2))</f>
        <v>0</v>
      </c>
      <c r="BO145" s="235"/>
      <c r="BP145" s="235"/>
      <c r="BQ145" s="305">
        <f>BN145*BP109</f>
        <v>0</v>
      </c>
      <c r="BR145" s="305"/>
      <c r="BS145" s="305">
        <f>IF(BQ145&gt;0,BH109-BQ145,0)</f>
        <v>0</v>
      </c>
      <c r="BT145" s="226"/>
      <c r="BX145" s="234" t="e">
        <f>IF((BZ109+1)-BZ145&lt;(BZ109+1),(BZ109+1)-BZ145," ")</f>
        <v>#REF!</v>
      </c>
      <c r="BY145" s="235"/>
      <c r="BZ145" s="235" t="e">
        <f t="shared" si="21"/>
        <v>#REF!</v>
      </c>
      <c r="CA145" s="235"/>
      <c r="CB145" s="235" t="e">
        <f>BZ145/((BZ109+1)*(BZ109/2))</f>
        <v>#REF!</v>
      </c>
      <c r="CC145" s="235"/>
      <c r="CD145" s="235"/>
      <c r="CE145" s="305" t="e">
        <f>CB145*CD109</f>
        <v>#REF!</v>
      </c>
      <c r="CF145" s="305"/>
      <c r="CG145" s="305" t="e">
        <f>IF(CE145&gt;0,BV109-CE145,0)</f>
        <v>#REF!</v>
      </c>
      <c r="CH145" s="226"/>
      <c r="CL145" s="234" t="e">
        <f>IF((CN109+1)-CN145&lt;(CN109+1),(CN109+1)-CN145," ")</f>
        <v>#REF!</v>
      </c>
      <c r="CM145" s="235"/>
      <c r="CN145" s="235" t="e">
        <f t="shared" si="22"/>
        <v>#REF!</v>
      </c>
      <c r="CO145" s="235"/>
      <c r="CP145" s="235" t="e">
        <f>CN145/((CN109+1)*(CN109/2))</f>
        <v>#REF!</v>
      </c>
      <c r="CQ145" s="235"/>
      <c r="CR145" s="235"/>
      <c r="CS145" s="305" t="e">
        <f>CP145*CR109</f>
        <v>#REF!</v>
      </c>
      <c r="CT145" s="305"/>
      <c r="CU145" s="305" t="e">
        <f>IF(CS145&gt;0,CJ109-CS145,0)</f>
        <v>#REF!</v>
      </c>
      <c r="CV145" s="226"/>
    </row>
    <row r="146" spans="6:100" ht="12.75" hidden="1">
      <c r="F146" s="384" t="e">
        <f>C146*#REF!</f>
        <v>#REF!</v>
      </c>
      <c r="I146" s="234" t="str">
        <f>IF((K109+1)-K146&lt;(K109+1),(K109+1)-K146," ")</f>
        <v> </v>
      </c>
      <c r="J146" s="235"/>
      <c r="K146" s="235">
        <f t="shared" si="19"/>
        <v>0</v>
      </c>
      <c r="L146" s="235"/>
      <c r="M146" s="235"/>
      <c r="N146" s="235"/>
      <c r="O146" s="305" t="e">
        <f>#REF!*N109</f>
        <v>#REF!</v>
      </c>
      <c r="P146" s="305"/>
      <c r="Q146" s="305" t="e">
        <f>IF(O146&gt;0,G109-O146,0)</f>
        <v>#REF!</v>
      </c>
      <c r="R146" s="226"/>
      <c r="U146" s="234" t="str">
        <f>IF((W110+1)-W146&lt;(W110+1),(W110+1)-W146," ")</f>
        <v> </v>
      </c>
      <c r="V146" s="235"/>
      <c r="W146" s="235">
        <f t="shared" si="23"/>
        <v>0</v>
      </c>
      <c r="X146" s="235"/>
      <c r="Y146" s="235" t="e">
        <f>W146/((W110+1)*(W110/2))</f>
        <v>#DIV/0!</v>
      </c>
      <c r="Z146" s="235"/>
      <c r="AA146" s="235"/>
      <c r="AB146" s="305" t="e">
        <f>Y146*AA110</f>
        <v>#DIV/0!</v>
      </c>
      <c r="AC146" s="305"/>
      <c r="AD146" s="305" t="e">
        <f>IF(AB146&gt;0,S110-AB146,0)</f>
        <v>#DIV/0!</v>
      </c>
      <c r="AE146" s="226"/>
      <c r="AO146" s="234" t="str">
        <f>IF((AQ110+1)-AQ146&lt;(AQ110+1),(AQ110+1)-AQ146," ")</f>
        <v> </v>
      </c>
      <c r="AP146" s="235"/>
      <c r="AQ146" s="235">
        <f t="shared" si="24"/>
        <v>0</v>
      </c>
      <c r="AR146" s="235"/>
      <c r="AS146" s="235">
        <f>AQ146/((AQ110+1)*(AQ110/2))</f>
        <v>0</v>
      </c>
      <c r="AT146" s="235"/>
      <c r="AU146" s="235"/>
      <c r="AV146" s="305">
        <f>AS146*AU110</f>
        <v>0</v>
      </c>
      <c r="AW146" s="305"/>
      <c r="AX146" s="305">
        <f>IF(AV146&gt;0,AM110-AV146,0)</f>
        <v>0</v>
      </c>
      <c r="AY146" s="226"/>
      <c r="BJ146" s="234" t="str">
        <f>IF((BL109+1)-BL146&lt;(BL109+1),(BL109+1)-BL146," ")</f>
        <v> </v>
      </c>
      <c r="BK146" s="235"/>
      <c r="BL146" s="235">
        <f t="shared" si="20"/>
        <v>0</v>
      </c>
      <c r="BM146" s="235"/>
      <c r="BN146" s="235">
        <f>BL146/((BL109+1)*(BL109/2))</f>
        <v>0</v>
      </c>
      <c r="BO146" s="235"/>
      <c r="BP146" s="235"/>
      <c r="BQ146" s="305">
        <f>BN146*BP109</f>
        <v>0</v>
      </c>
      <c r="BR146" s="305"/>
      <c r="BS146" s="305">
        <f>IF(BQ146&gt;0,BH109-BQ146,0)</f>
        <v>0</v>
      </c>
      <c r="BT146" s="226"/>
      <c r="BX146" s="234" t="e">
        <f>IF((BZ109+1)-BZ146&lt;(BZ109+1),(BZ109+1)-BZ146," ")</f>
        <v>#REF!</v>
      </c>
      <c r="BY146" s="235"/>
      <c r="BZ146" s="235" t="e">
        <f t="shared" si="21"/>
        <v>#REF!</v>
      </c>
      <c r="CA146" s="235"/>
      <c r="CB146" s="235" t="e">
        <f>BZ146/((BZ109+1)*(BZ109/2))</f>
        <v>#REF!</v>
      </c>
      <c r="CC146" s="235"/>
      <c r="CD146" s="235"/>
      <c r="CE146" s="305" t="e">
        <f>CB146*CD109</f>
        <v>#REF!</v>
      </c>
      <c r="CF146" s="305"/>
      <c r="CG146" s="305" t="e">
        <f>IF(CE146&gt;0,BV109-CE146,0)</f>
        <v>#REF!</v>
      </c>
      <c r="CH146" s="226"/>
      <c r="CL146" s="234" t="e">
        <f>IF((CN109+1)-CN146&lt;(CN109+1),(CN109+1)-CN146," ")</f>
        <v>#REF!</v>
      </c>
      <c r="CM146" s="235"/>
      <c r="CN146" s="235" t="e">
        <f t="shared" si="22"/>
        <v>#REF!</v>
      </c>
      <c r="CO146" s="235"/>
      <c r="CP146" s="235" t="e">
        <f>CN146/((CN109+1)*(CN109/2))</f>
        <v>#REF!</v>
      </c>
      <c r="CQ146" s="235"/>
      <c r="CR146" s="235"/>
      <c r="CS146" s="305" t="e">
        <f>CP146*CR109</f>
        <v>#REF!</v>
      </c>
      <c r="CT146" s="305"/>
      <c r="CU146" s="305" t="e">
        <f>IF(CS146&gt;0,CJ109-CS146,0)</f>
        <v>#REF!</v>
      </c>
      <c r="CV146" s="226"/>
    </row>
    <row r="147" spans="6:100" ht="12.75" hidden="1">
      <c r="F147" s="384" t="e">
        <f>C147*#REF!</f>
        <v>#REF!</v>
      </c>
      <c r="I147" s="234" t="str">
        <f>IF((K109+1)-K147&lt;(K109+1),(K109+1)-K147," ")</f>
        <v> </v>
      </c>
      <c r="J147" s="235"/>
      <c r="K147" s="235">
        <f t="shared" si="19"/>
        <v>0</v>
      </c>
      <c r="L147" s="235"/>
      <c r="M147" s="235"/>
      <c r="N147" s="235"/>
      <c r="O147" s="305" t="e">
        <f>#REF!*N109</f>
        <v>#REF!</v>
      </c>
      <c r="P147" s="305"/>
      <c r="Q147" s="305" t="e">
        <f>IF(O147&gt;0,G109-O147,0)</f>
        <v>#REF!</v>
      </c>
      <c r="R147" s="226"/>
      <c r="U147" s="234" t="str">
        <f>IF((W110+1)-W147&lt;(W110+1),(W110+1)-W147," ")</f>
        <v> </v>
      </c>
      <c r="V147" s="235"/>
      <c r="W147" s="235">
        <f t="shared" si="23"/>
        <v>0</v>
      </c>
      <c r="X147" s="235"/>
      <c r="Y147" s="235" t="e">
        <f>W147/((W110+1)*(W110/2))</f>
        <v>#DIV/0!</v>
      </c>
      <c r="Z147" s="235"/>
      <c r="AA147" s="235"/>
      <c r="AB147" s="305" t="e">
        <f>Y147*AA110</f>
        <v>#DIV/0!</v>
      </c>
      <c r="AC147" s="305"/>
      <c r="AD147" s="305" t="e">
        <f>IF(AB147&gt;0,S110-AB147,0)</f>
        <v>#DIV/0!</v>
      </c>
      <c r="AE147" s="226"/>
      <c r="AO147" s="234" t="str">
        <f>IF((AQ110+1)-AQ147&lt;(AQ110+1),(AQ110+1)-AQ147," ")</f>
        <v> </v>
      </c>
      <c r="AP147" s="235"/>
      <c r="AQ147" s="235">
        <f t="shared" si="24"/>
        <v>0</v>
      </c>
      <c r="AR147" s="235"/>
      <c r="AS147" s="235">
        <f>AQ147/((AQ110+1)*(AQ110/2))</f>
        <v>0</v>
      </c>
      <c r="AT147" s="235"/>
      <c r="AU147" s="235"/>
      <c r="AV147" s="305">
        <f>AS147*AU110</f>
        <v>0</v>
      </c>
      <c r="AW147" s="305"/>
      <c r="AX147" s="305">
        <f>IF(AV147&gt;0,AM110-AV147,0)</f>
        <v>0</v>
      </c>
      <c r="AY147" s="226"/>
      <c r="BJ147" s="234" t="str">
        <f>IF((BL109+1)-BL147&lt;(BL109+1),(BL109+1)-BL147," ")</f>
        <v> </v>
      </c>
      <c r="BK147" s="235"/>
      <c r="BL147" s="235">
        <f t="shared" si="20"/>
        <v>0</v>
      </c>
      <c r="BM147" s="235"/>
      <c r="BN147" s="235">
        <f>BL147/((BL109+1)*(BL109/2))</f>
        <v>0</v>
      </c>
      <c r="BO147" s="235"/>
      <c r="BP147" s="235"/>
      <c r="BQ147" s="305">
        <f>BN147*BP109</f>
        <v>0</v>
      </c>
      <c r="BR147" s="305"/>
      <c r="BS147" s="305">
        <f>IF(BQ147&gt;0,BH109-BQ147,0)</f>
        <v>0</v>
      </c>
      <c r="BT147" s="226"/>
      <c r="BX147" s="234" t="e">
        <f>IF((BZ109+1)-BZ147&lt;(BZ109+1),(BZ109+1)-BZ147," ")</f>
        <v>#REF!</v>
      </c>
      <c r="BY147" s="235"/>
      <c r="BZ147" s="235" t="e">
        <f t="shared" si="21"/>
        <v>#REF!</v>
      </c>
      <c r="CA147" s="235"/>
      <c r="CB147" s="235" t="e">
        <f>BZ147/((BZ109+1)*(BZ109/2))</f>
        <v>#REF!</v>
      </c>
      <c r="CC147" s="235"/>
      <c r="CD147" s="235"/>
      <c r="CE147" s="305" t="e">
        <f>CB147*CD109</f>
        <v>#REF!</v>
      </c>
      <c r="CF147" s="305"/>
      <c r="CG147" s="305" t="e">
        <f>IF(CE147&gt;0,BV109-CE147,0)</f>
        <v>#REF!</v>
      </c>
      <c r="CH147" s="226"/>
      <c r="CL147" s="234" t="e">
        <f>IF((CN109+1)-CN147&lt;(CN109+1),(CN109+1)-CN147," ")</f>
        <v>#REF!</v>
      </c>
      <c r="CM147" s="235"/>
      <c r="CN147" s="235" t="e">
        <f t="shared" si="22"/>
        <v>#REF!</v>
      </c>
      <c r="CO147" s="235"/>
      <c r="CP147" s="235" t="e">
        <f>CN147/((CN109+1)*(CN109/2))</f>
        <v>#REF!</v>
      </c>
      <c r="CQ147" s="235"/>
      <c r="CR147" s="235"/>
      <c r="CS147" s="305" t="e">
        <f>CP147*CR109</f>
        <v>#REF!</v>
      </c>
      <c r="CT147" s="305"/>
      <c r="CU147" s="305" t="e">
        <f>IF(CS147&gt;0,CJ109-CS147,0)</f>
        <v>#REF!</v>
      </c>
      <c r="CV147" s="226"/>
    </row>
    <row r="148" spans="6:100" ht="12.75" hidden="1">
      <c r="F148" s="384" t="e">
        <f>C148*#REF!</f>
        <v>#REF!</v>
      </c>
      <c r="I148" s="234" t="str">
        <f>IF((K109+1)-K148&lt;(K109+1),(K109+1)-K148," ")</f>
        <v> </v>
      </c>
      <c r="J148" s="235"/>
      <c r="K148" s="235">
        <f t="shared" si="19"/>
        <v>0</v>
      </c>
      <c r="L148" s="235"/>
      <c r="M148" s="235"/>
      <c r="N148" s="235"/>
      <c r="O148" s="305" t="e">
        <f>#REF!*N109</f>
        <v>#REF!</v>
      </c>
      <c r="P148" s="305"/>
      <c r="Q148" s="305" t="e">
        <f>IF(O148&gt;0,G109-O148,0)</f>
        <v>#REF!</v>
      </c>
      <c r="R148" s="226"/>
      <c r="U148" s="234" t="str">
        <f>IF((W110+1)-W148&lt;(W110+1),(W110+1)-W148," ")</f>
        <v> </v>
      </c>
      <c r="V148" s="235"/>
      <c r="W148" s="235">
        <f t="shared" si="23"/>
        <v>0</v>
      </c>
      <c r="X148" s="235"/>
      <c r="Y148" s="235" t="e">
        <f>W148/((W110+1)*(W110/2))</f>
        <v>#DIV/0!</v>
      </c>
      <c r="Z148" s="235"/>
      <c r="AA148" s="235"/>
      <c r="AB148" s="305" t="e">
        <f>Y148*AA110</f>
        <v>#DIV/0!</v>
      </c>
      <c r="AC148" s="305"/>
      <c r="AD148" s="305" t="e">
        <f>IF(AB148&gt;0,S110-AB148,0)</f>
        <v>#DIV/0!</v>
      </c>
      <c r="AE148" s="226"/>
      <c r="AO148" s="234" t="str">
        <f>IF((AQ110+1)-AQ148&lt;(AQ110+1),(AQ110+1)-AQ148," ")</f>
        <v> </v>
      </c>
      <c r="AP148" s="235"/>
      <c r="AQ148" s="235">
        <f t="shared" si="24"/>
        <v>0</v>
      </c>
      <c r="AR148" s="235"/>
      <c r="AS148" s="235">
        <f>AQ148/((AQ110+1)*(AQ110/2))</f>
        <v>0</v>
      </c>
      <c r="AT148" s="235"/>
      <c r="AU148" s="235"/>
      <c r="AV148" s="305">
        <f>AS148*AU110</f>
        <v>0</v>
      </c>
      <c r="AW148" s="305"/>
      <c r="AX148" s="305">
        <f>IF(AV148&gt;0,AM110-AV148,0)</f>
        <v>0</v>
      </c>
      <c r="AY148" s="226"/>
      <c r="BJ148" s="234" t="str">
        <f>IF((BL109+1)-BL148&lt;(BL109+1),(BL109+1)-BL148," ")</f>
        <v> </v>
      </c>
      <c r="BK148" s="235"/>
      <c r="BL148" s="235">
        <f t="shared" si="20"/>
        <v>0</v>
      </c>
      <c r="BM148" s="235"/>
      <c r="BN148" s="235">
        <f>BL148/((BL109+1)*(BL109/2))</f>
        <v>0</v>
      </c>
      <c r="BO148" s="235"/>
      <c r="BP148" s="235"/>
      <c r="BQ148" s="305">
        <f>BN148*BP109</f>
        <v>0</v>
      </c>
      <c r="BR148" s="305"/>
      <c r="BS148" s="305">
        <f>IF(BQ148&gt;0,BH109-BQ148,0)</f>
        <v>0</v>
      </c>
      <c r="BT148" s="226"/>
      <c r="BX148" s="234" t="e">
        <f>IF((BZ109+1)-BZ148&lt;(BZ109+1),(BZ109+1)-BZ148," ")</f>
        <v>#REF!</v>
      </c>
      <c r="BY148" s="235"/>
      <c r="BZ148" s="235" t="e">
        <f t="shared" si="21"/>
        <v>#REF!</v>
      </c>
      <c r="CA148" s="235"/>
      <c r="CB148" s="235" t="e">
        <f>BZ148/((BZ109+1)*(BZ109/2))</f>
        <v>#REF!</v>
      </c>
      <c r="CC148" s="235"/>
      <c r="CD148" s="235"/>
      <c r="CE148" s="305" t="e">
        <f>CB148*CD109</f>
        <v>#REF!</v>
      </c>
      <c r="CF148" s="305"/>
      <c r="CG148" s="305" t="e">
        <f>IF(CE148&gt;0,BV109-CE148,0)</f>
        <v>#REF!</v>
      </c>
      <c r="CH148" s="226"/>
      <c r="CL148" s="234" t="e">
        <f>IF((CN109+1)-CN148&lt;(CN109+1),(CN109+1)-CN148," ")</f>
        <v>#REF!</v>
      </c>
      <c r="CM148" s="235"/>
      <c r="CN148" s="235" t="e">
        <f t="shared" si="22"/>
        <v>#REF!</v>
      </c>
      <c r="CO148" s="235"/>
      <c r="CP148" s="235" t="e">
        <f>CN148/((CN109+1)*(CN109/2))</f>
        <v>#REF!</v>
      </c>
      <c r="CQ148" s="235"/>
      <c r="CR148" s="235"/>
      <c r="CS148" s="305" t="e">
        <f>CP148*CR109</f>
        <v>#REF!</v>
      </c>
      <c r="CT148" s="305"/>
      <c r="CU148" s="305" t="e">
        <f>IF(CS148&gt;0,CJ109-CS148,0)</f>
        <v>#REF!</v>
      </c>
      <c r="CV148" s="226"/>
    </row>
    <row r="149" spans="6:100" ht="12.75" hidden="1">
      <c r="F149" s="384" t="e">
        <f>C149*#REF!</f>
        <v>#REF!</v>
      </c>
      <c r="I149" s="234" t="str">
        <f>IF((K109+1)-K149&lt;(K109+1),(K109+1)-K149," ")</f>
        <v> </v>
      </c>
      <c r="J149" s="235"/>
      <c r="K149" s="235">
        <f t="shared" si="19"/>
        <v>0</v>
      </c>
      <c r="L149" s="235"/>
      <c r="M149" s="235"/>
      <c r="N149" s="235"/>
      <c r="O149" s="305" t="e">
        <f>#REF!*N109</f>
        <v>#REF!</v>
      </c>
      <c r="P149" s="305"/>
      <c r="Q149" s="305" t="e">
        <f>IF(O149&gt;0,G109-O149,0)</f>
        <v>#REF!</v>
      </c>
      <c r="R149" s="226"/>
      <c r="U149" s="234" t="str">
        <f>IF((W110+1)-W149&lt;(W110+1),(W110+1)-W149," ")</f>
        <v> </v>
      </c>
      <c r="V149" s="235"/>
      <c r="W149" s="235">
        <f t="shared" si="23"/>
        <v>0</v>
      </c>
      <c r="X149" s="235"/>
      <c r="Y149" s="235" t="e">
        <f>W149/((W110+1)*(W110/2))</f>
        <v>#DIV/0!</v>
      </c>
      <c r="Z149" s="235"/>
      <c r="AA149" s="235"/>
      <c r="AB149" s="305" t="e">
        <f>Y149*AA110</f>
        <v>#DIV/0!</v>
      </c>
      <c r="AC149" s="305"/>
      <c r="AD149" s="305" t="e">
        <f>IF(AB149&gt;0,S110-AB149,0)</f>
        <v>#DIV/0!</v>
      </c>
      <c r="AE149" s="226"/>
      <c r="AO149" s="234" t="str">
        <f>IF((AQ110+1)-AQ149&lt;(AQ110+1),(AQ110+1)-AQ149," ")</f>
        <v> </v>
      </c>
      <c r="AP149" s="235"/>
      <c r="AQ149" s="235">
        <f t="shared" si="24"/>
        <v>0</v>
      </c>
      <c r="AR149" s="235"/>
      <c r="AS149" s="235">
        <f>AQ149/((AQ110+1)*(AQ110/2))</f>
        <v>0</v>
      </c>
      <c r="AT149" s="235"/>
      <c r="AU149" s="235"/>
      <c r="AV149" s="305">
        <f>AS149*AU110</f>
        <v>0</v>
      </c>
      <c r="AW149" s="305"/>
      <c r="AX149" s="305">
        <f>IF(AV149&gt;0,AM110-AV149,0)</f>
        <v>0</v>
      </c>
      <c r="AY149" s="226"/>
      <c r="BJ149" s="234" t="str">
        <f>IF((BL109+1)-BL149&lt;(BL109+1),(BL109+1)-BL149," ")</f>
        <v> </v>
      </c>
      <c r="BK149" s="235"/>
      <c r="BL149" s="235">
        <f t="shared" si="20"/>
        <v>0</v>
      </c>
      <c r="BM149" s="235"/>
      <c r="BN149" s="235">
        <f>BL149/((BL109+1)*(BL109/2))</f>
        <v>0</v>
      </c>
      <c r="BO149" s="235"/>
      <c r="BP149" s="235"/>
      <c r="BQ149" s="305">
        <f>BN149*BP109</f>
        <v>0</v>
      </c>
      <c r="BR149" s="305"/>
      <c r="BS149" s="305">
        <f>IF(BQ149&gt;0,BH109-BQ149,0)</f>
        <v>0</v>
      </c>
      <c r="BT149" s="226"/>
      <c r="BX149" s="234" t="e">
        <f>IF((BZ109+1)-BZ149&lt;(BZ109+1),(BZ109+1)-BZ149," ")</f>
        <v>#REF!</v>
      </c>
      <c r="BY149" s="235"/>
      <c r="BZ149" s="235" t="e">
        <f t="shared" si="21"/>
        <v>#REF!</v>
      </c>
      <c r="CA149" s="235"/>
      <c r="CB149" s="235" t="e">
        <f>BZ149/((BZ109+1)*(BZ109/2))</f>
        <v>#REF!</v>
      </c>
      <c r="CC149" s="235"/>
      <c r="CD149" s="235"/>
      <c r="CE149" s="305" t="e">
        <f>CB149*CD109</f>
        <v>#REF!</v>
      </c>
      <c r="CF149" s="305"/>
      <c r="CG149" s="305" t="e">
        <f>IF(CE149&gt;0,BV109-CE149,0)</f>
        <v>#REF!</v>
      </c>
      <c r="CH149" s="226"/>
      <c r="CL149" s="234" t="e">
        <f>IF((CN109+1)-CN149&lt;(CN109+1),(CN109+1)-CN149," ")</f>
        <v>#REF!</v>
      </c>
      <c r="CM149" s="235"/>
      <c r="CN149" s="235" t="e">
        <f t="shared" si="22"/>
        <v>#REF!</v>
      </c>
      <c r="CO149" s="235"/>
      <c r="CP149" s="235" t="e">
        <f>CN149/((CN109+1)*(CN109/2))</f>
        <v>#REF!</v>
      </c>
      <c r="CQ149" s="235"/>
      <c r="CR149" s="235"/>
      <c r="CS149" s="305" t="e">
        <f>CP149*CR109</f>
        <v>#REF!</v>
      </c>
      <c r="CT149" s="305"/>
      <c r="CU149" s="305" t="e">
        <f>IF(CS149&gt;0,CJ109-CS149,0)</f>
        <v>#REF!</v>
      </c>
      <c r="CV149" s="226"/>
    </row>
    <row r="150" spans="6:100" ht="12.75" hidden="1">
      <c r="F150" s="384" t="e">
        <f>C150*#REF!</f>
        <v>#REF!</v>
      </c>
      <c r="I150" s="234" t="str">
        <f>IF((K109+1)-K150&lt;(K109+1),(K109+1)-K150," ")</f>
        <v> </v>
      </c>
      <c r="J150" s="235"/>
      <c r="K150" s="235">
        <f t="shared" si="19"/>
        <v>0</v>
      </c>
      <c r="L150" s="235"/>
      <c r="M150" s="235"/>
      <c r="N150" s="235"/>
      <c r="O150" s="305" t="e">
        <f>#REF!*N109</f>
        <v>#REF!</v>
      </c>
      <c r="P150" s="305"/>
      <c r="Q150" s="305" t="e">
        <f>IF(O150&gt;0,G109-O150,0)</f>
        <v>#REF!</v>
      </c>
      <c r="R150" s="226"/>
      <c r="U150" s="234" t="str">
        <f>IF((W110+1)-W150&lt;(W110+1),(W110+1)-W150," ")</f>
        <v> </v>
      </c>
      <c r="V150" s="235"/>
      <c r="W150" s="235">
        <f t="shared" si="23"/>
        <v>0</v>
      </c>
      <c r="X150" s="235"/>
      <c r="Y150" s="235" t="e">
        <f>W150/((W110+1)*(W110/2))</f>
        <v>#DIV/0!</v>
      </c>
      <c r="Z150" s="235"/>
      <c r="AA150" s="235"/>
      <c r="AB150" s="305" t="e">
        <f>Y150*AA110</f>
        <v>#DIV/0!</v>
      </c>
      <c r="AC150" s="305"/>
      <c r="AD150" s="305" t="e">
        <f>IF(AB150&gt;0,S110-AB150,0)</f>
        <v>#DIV/0!</v>
      </c>
      <c r="AE150" s="226"/>
      <c r="AO150" s="234" t="str">
        <f>IF((AQ110+1)-AQ150&lt;(AQ110+1),(AQ110+1)-AQ150," ")</f>
        <v> </v>
      </c>
      <c r="AP150" s="235"/>
      <c r="AQ150" s="235">
        <f t="shared" si="24"/>
        <v>0</v>
      </c>
      <c r="AR150" s="235"/>
      <c r="AS150" s="235">
        <f>AQ150/((AQ110+1)*(AQ110/2))</f>
        <v>0</v>
      </c>
      <c r="AT150" s="235"/>
      <c r="AU150" s="235"/>
      <c r="AV150" s="305">
        <f>AS150*AU110</f>
        <v>0</v>
      </c>
      <c r="AW150" s="305"/>
      <c r="AX150" s="305">
        <f>IF(AV150&gt;0,AM110-AV150,0)</f>
        <v>0</v>
      </c>
      <c r="AY150" s="226"/>
      <c r="BJ150" s="234" t="str">
        <f>IF((BL109+1)-BL150&lt;(BL109+1),(BL109+1)-BL150," ")</f>
        <v> </v>
      </c>
      <c r="BK150" s="235"/>
      <c r="BL150" s="235">
        <f t="shared" si="20"/>
        <v>0</v>
      </c>
      <c r="BM150" s="235"/>
      <c r="BN150" s="235">
        <f>BL150/((BL109+1)*(BL109/2))</f>
        <v>0</v>
      </c>
      <c r="BO150" s="235"/>
      <c r="BP150" s="235"/>
      <c r="BQ150" s="305">
        <f>BN150*BP109</f>
        <v>0</v>
      </c>
      <c r="BR150" s="305"/>
      <c r="BS150" s="305">
        <f>IF(BQ150&gt;0,BH109-BQ150,0)</f>
        <v>0</v>
      </c>
      <c r="BT150" s="226"/>
      <c r="BX150" s="234" t="e">
        <f>IF((BZ109+1)-BZ150&lt;(BZ109+1),(BZ109+1)-BZ150," ")</f>
        <v>#REF!</v>
      </c>
      <c r="BY150" s="235"/>
      <c r="BZ150" s="235" t="e">
        <f t="shared" si="21"/>
        <v>#REF!</v>
      </c>
      <c r="CA150" s="235"/>
      <c r="CB150" s="235" t="e">
        <f>BZ150/((BZ109+1)*(BZ109/2))</f>
        <v>#REF!</v>
      </c>
      <c r="CC150" s="235"/>
      <c r="CD150" s="235"/>
      <c r="CE150" s="305" t="e">
        <f>CB150*CD109</f>
        <v>#REF!</v>
      </c>
      <c r="CF150" s="305"/>
      <c r="CG150" s="305" t="e">
        <f>IF(CE150&gt;0,BV109-CE150,0)</f>
        <v>#REF!</v>
      </c>
      <c r="CH150" s="226"/>
      <c r="CL150" s="234" t="e">
        <f>IF((CN109+1)-CN150&lt;(CN109+1),(CN109+1)-CN150," ")</f>
        <v>#REF!</v>
      </c>
      <c r="CM150" s="235"/>
      <c r="CN150" s="235" t="e">
        <f t="shared" si="22"/>
        <v>#REF!</v>
      </c>
      <c r="CO150" s="235"/>
      <c r="CP150" s="235" t="e">
        <f>CN150/((CN109+1)*(CN109/2))</f>
        <v>#REF!</v>
      </c>
      <c r="CQ150" s="235"/>
      <c r="CR150" s="235"/>
      <c r="CS150" s="305" t="e">
        <f>CP150*CR109</f>
        <v>#REF!</v>
      </c>
      <c r="CT150" s="305"/>
      <c r="CU150" s="305" t="e">
        <f>IF(CS150&gt;0,CJ109-CS150,0)</f>
        <v>#REF!</v>
      </c>
      <c r="CV150" s="226"/>
    </row>
    <row r="151" spans="6:100" ht="12.75" hidden="1">
      <c r="F151" s="384" t="e">
        <f>C151*#REF!</f>
        <v>#REF!</v>
      </c>
      <c r="I151" s="234" t="str">
        <f>IF((K109+1)-K151&lt;(K109+1),(K109+1)-K151," ")</f>
        <v> </v>
      </c>
      <c r="J151" s="235"/>
      <c r="K151" s="235">
        <f t="shared" si="19"/>
        <v>0</v>
      </c>
      <c r="L151" s="235"/>
      <c r="M151" s="235"/>
      <c r="N151" s="235"/>
      <c r="O151" s="305" t="e">
        <f>#REF!*N109</f>
        <v>#REF!</v>
      </c>
      <c r="P151" s="305"/>
      <c r="Q151" s="305" t="e">
        <f>IF(O151&gt;0,G109-O151,0)</f>
        <v>#REF!</v>
      </c>
      <c r="R151" s="226"/>
      <c r="U151" s="234" t="str">
        <f>IF((W110+1)-W151&lt;(W110+1),(W110+1)-W151," ")</f>
        <v> </v>
      </c>
      <c r="V151" s="235"/>
      <c r="W151" s="235">
        <f t="shared" si="23"/>
        <v>0</v>
      </c>
      <c r="X151" s="235"/>
      <c r="Y151" s="235" t="e">
        <f>W151/((W110+1)*(W110/2))</f>
        <v>#DIV/0!</v>
      </c>
      <c r="Z151" s="235"/>
      <c r="AA151" s="235"/>
      <c r="AB151" s="305" t="e">
        <f>Y151*AA110</f>
        <v>#DIV/0!</v>
      </c>
      <c r="AC151" s="305"/>
      <c r="AD151" s="305" t="e">
        <f>IF(AB151&gt;0,S110-AB151,0)</f>
        <v>#DIV/0!</v>
      </c>
      <c r="AE151" s="226"/>
      <c r="AO151" s="234" t="str">
        <f>IF((AQ110+1)-AQ151&lt;(AQ110+1),(AQ110+1)-AQ151," ")</f>
        <v> </v>
      </c>
      <c r="AP151" s="235"/>
      <c r="AQ151" s="235">
        <f t="shared" si="24"/>
        <v>0</v>
      </c>
      <c r="AR151" s="235"/>
      <c r="AS151" s="235">
        <f>AQ151/((AQ110+1)*(AQ110/2))</f>
        <v>0</v>
      </c>
      <c r="AT151" s="235"/>
      <c r="AU151" s="235"/>
      <c r="AV151" s="305">
        <f>AS151*AU110</f>
        <v>0</v>
      </c>
      <c r="AW151" s="305"/>
      <c r="AX151" s="305">
        <f>IF(AV151&gt;0,AM110-AV151,0)</f>
        <v>0</v>
      </c>
      <c r="AY151" s="226"/>
      <c r="BJ151" s="234" t="str">
        <f>IF((BL109+1)-BL151&lt;(BL109+1),(BL109+1)-BL151," ")</f>
        <v> </v>
      </c>
      <c r="BK151" s="235"/>
      <c r="BL151" s="235">
        <f t="shared" si="20"/>
        <v>0</v>
      </c>
      <c r="BM151" s="235"/>
      <c r="BN151" s="235">
        <f>BL151/((BL109+1)*(BL109/2))</f>
        <v>0</v>
      </c>
      <c r="BO151" s="235"/>
      <c r="BP151" s="235"/>
      <c r="BQ151" s="305">
        <f>BN151*BP109</f>
        <v>0</v>
      </c>
      <c r="BR151" s="305"/>
      <c r="BS151" s="305">
        <f>IF(BQ151&gt;0,BH109-BQ151,0)</f>
        <v>0</v>
      </c>
      <c r="BT151" s="226"/>
      <c r="BX151" s="234" t="e">
        <f>IF((BZ109+1)-BZ151&lt;(BZ109+1),(BZ109+1)-BZ151," ")</f>
        <v>#REF!</v>
      </c>
      <c r="BY151" s="235"/>
      <c r="BZ151" s="235" t="e">
        <f t="shared" si="21"/>
        <v>#REF!</v>
      </c>
      <c r="CA151" s="235"/>
      <c r="CB151" s="235" t="e">
        <f>BZ151/((BZ109+1)*(BZ109/2))</f>
        <v>#REF!</v>
      </c>
      <c r="CC151" s="235"/>
      <c r="CD151" s="235"/>
      <c r="CE151" s="305" t="e">
        <f>CB151*CD109</f>
        <v>#REF!</v>
      </c>
      <c r="CF151" s="305"/>
      <c r="CG151" s="305" t="e">
        <f>IF(CE151&gt;0,BV109-CE151,0)</f>
        <v>#REF!</v>
      </c>
      <c r="CH151" s="226"/>
      <c r="CL151" s="234" t="e">
        <f>IF((CN109+1)-CN151&lt;(CN109+1),(CN109+1)-CN151," ")</f>
        <v>#REF!</v>
      </c>
      <c r="CM151" s="235"/>
      <c r="CN151" s="235" t="e">
        <f t="shared" si="22"/>
        <v>#REF!</v>
      </c>
      <c r="CO151" s="235"/>
      <c r="CP151" s="235" t="e">
        <f>CN151/((CN109+1)*(CN109/2))</f>
        <v>#REF!</v>
      </c>
      <c r="CQ151" s="235"/>
      <c r="CR151" s="235"/>
      <c r="CS151" s="305" t="e">
        <f>CP151*CR109</f>
        <v>#REF!</v>
      </c>
      <c r="CT151" s="305"/>
      <c r="CU151" s="305" t="e">
        <f>IF(CS151&gt;0,CJ109-CS151,0)</f>
        <v>#REF!</v>
      </c>
      <c r="CV151" s="226"/>
    </row>
    <row r="152" spans="6:100" ht="12.75" hidden="1">
      <c r="F152" s="384" t="e">
        <f>C152*#REF!</f>
        <v>#REF!</v>
      </c>
      <c r="I152" s="234" t="str">
        <f>IF((K109+1)-K152&lt;(K109+1),(K109+1)-K152," ")</f>
        <v> </v>
      </c>
      <c r="J152" s="235"/>
      <c r="K152" s="235">
        <f t="shared" si="19"/>
        <v>0</v>
      </c>
      <c r="L152" s="235"/>
      <c r="M152" s="235"/>
      <c r="N152" s="235"/>
      <c r="O152" s="305" t="e">
        <f>#REF!*N109</f>
        <v>#REF!</v>
      </c>
      <c r="P152" s="305"/>
      <c r="Q152" s="305" t="e">
        <f>IF(O152&gt;0,G109-O152,0)</f>
        <v>#REF!</v>
      </c>
      <c r="R152" s="226"/>
      <c r="U152" s="234" t="str">
        <f>IF((W110+1)-W152&lt;(W110+1),(W110+1)-W152," ")</f>
        <v> </v>
      </c>
      <c r="V152" s="235"/>
      <c r="W152" s="235">
        <f t="shared" si="23"/>
        <v>0</v>
      </c>
      <c r="X152" s="235"/>
      <c r="Y152" s="235" t="e">
        <f>W152/((W110+1)*(W110/2))</f>
        <v>#DIV/0!</v>
      </c>
      <c r="Z152" s="235"/>
      <c r="AA152" s="235"/>
      <c r="AB152" s="305" t="e">
        <f>Y152*AA110</f>
        <v>#DIV/0!</v>
      </c>
      <c r="AC152" s="305"/>
      <c r="AD152" s="305" t="e">
        <f>IF(AB152&gt;0,S110-AB152,0)</f>
        <v>#DIV/0!</v>
      </c>
      <c r="AE152" s="226"/>
      <c r="AO152" s="234" t="str">
        <f>IF((AQ110+1)-AQ152&lt;(AQ110+1),(AQ110+1)-AQ152," ")</f>
        <v> </v>
      </c>
      <c r="AP152" s="235"/>
      <c r="AQ152" s="235">
        <f t="shared" si="24"/>
        <v>0</v>
      </c>
      <c r="AR152" s="235"/>
      <c r="AS152" s="235">
        <f>AQ152/((AQ110+1)*(AQ110/2))</f>
        <v>0</v>
      </c>
      <c r="AT152" s="235"/>
      <c r="AU152" s="235"/>
      <c r="AV152" s="305">
        <f>AS152*AU110</f>
        <v>0</v>
      </c>
      <c r="AW152" s="305"/>
      <c r="AX152" s="305">
        <f>IF(AV152&gt;0,AM110-AV152,0)</f>
        <v>0</v>
      </c>
      <c r="AY152" s="226"/>
      <c r="BJ152" s="234" t="str">
        <f>IF((BL109+1)-BL152&lt;(BL109+1),(BL109+1)-BL152," ")</f>
        <v> </v>
      </c>
      <c r="BK152" s="235"/>
      <c r="BL152" s="235">
        <f t="shared" si="20"/>
        <v>0</v>
      </c>
      <c r="BM152" s="235"/>
      <c r="BN152" s="235">
        <f>BL152/((BL109+1)*(BL109/2))</f>
        <v>0</v>
      </c>
      <c r="BO152" s="235"/>
      <c r="BP152" s="235"/>
      <c r="BQ152" s="305">
        <f>BN152*BP109</f>
        <v>0</v>
      </c>
      <c r="BR152" s="305"/>
      <c r="BS152" s="305">
        <f>IF(BQ152&gt;0,BH109-BQ152,0)</f>
        <v>0</v>
      </c>
      <c r="BT152" s="226"/>
      <c r="BX152" s="234" t="e">
        <f>IF((BZ109+1)-BZ152&lt;(BZ109+1),(BZ109+1)-BZ152," ")</f>
        <v>#REF!</v>
      </c>
      <c r="BY152" s="235"/>
      <c r="BZ152" s="235" t="e">
        <f t="shared" si="21"/>
        <v>#REF!</v>
      </c>
      <c r="CA152" s="235"/>
      <c r="CB152" s="235" t="e">
        <f>BZ152/((BZ109+1)*(BZ109/2))</f>
        <v>#REF!</v>
      </c>
      <c r="CC152" s="235"/>
      <c r="CD152" s="235"/>
      <c r="CE152" s="305" t="e">
        <f>CB152*CD109</f>
        <v>#REF!</v>
      </c>
      <c r="CF152" s="305"/>
      <c r="CG152" s="305" t="e">
        <f>IF(CE152&gt;0,BV109-CE152,0)</f>
        <v>#REF!</v>
      </c>
      <c r="CH152" s="226"/>
      <c r="CL152" s="234" t="e">
        <f>IF((CN109+1)-CN152&lt;(CN109+1),(CN109+1)-CN152," ")</f>
        <v>#REF!</v>
      </c>
      <c r="CM152" s="235"/>
      <c r="CN152" s="235" t="e">
        <f t="shared" si="22"/>
        <v>#REF!</v>
      </c>
      <c r="CO152" s="235"/>
      <c r="CP152" s="235" t="e">
        <f>CN152/((CN109+1)*(CN109/2))</f>
        <v>#REF!</v>
      </c>
      <c r="CQ152" s="235"/>
      <c r="CR152" s="235"/>
      <c r="CS152" s="305" t="e">
        <f>CP152*CR109</f>
        <v>#REF!</v>
      </c>
      <c r="CT152" s="305"/>
      <c r="CU152" s="305" t="e">
        <f>IF(CS152&gt;0,CJ109-CS152,0)</f>
        <v>#REF!</v>
      </c>
      <c r="CV152" s="226"/>
    </row>
    <row r="153" spans="6:100" ht="12.75" hidden="1">
      <c r="F153" s="384" t="e">
        <f>C153*#REF!</f>
        <v>#REF!</v>
      </c>
      <c r="I153" s="234" t="str">
        <f>IF((K109+1)-K153&lt;(K109+1),(K109+1)-K153," ")</f>
        <v> </v>
      </c>
      <c r="J153" s="235"/>
      <c r="K153" s="235">
        <f t="shared" si="19"/>
        <v>0</v>
      </c>
      <c r="L153" s="235"/>
      <c r="M153" s="235"/>
      <c r="N153" s="235"/>
      <c r="O153" s="305" t="e">
        <f>#REF!*N109</f>
        <v>#REF!</v>
      </c>
      <c r="P153" s="305"/>
      <c r="Q153" s="305" t="e">
        <f>IF(O153&gt;0,G109-O153,0)</f>
        <v>#REF!</v>
      </c>
      <c r="R153" s="226"/>
      <c r="U153" s="234" t="str">
        <f>IF((W110+1)-W153&lt;(W110+1),(W110+1)-W153," ")</f>
        <v> </v>
      </c>
      <c r="V153" s="235"/>
      <c r="W153" s="235">
        <f t="shared" si="23"/>
        <v>0</v>
      </c>
      <c r="X153" s="235"/>
      <c r="Y153" s="235" t="e">
        <f>W153/((W110+1)*(W110/2))</f>
        <v>#DIV/0!</v>
      </c>
      <c r="Z153" s="235"/>
      <c r="AA153" s="235"/>
      <c r="AB153" s="305" t="e">
        <f>Y153*AA110</f>
        <v>#DIV/0!</v>
      </c>
      <c r="AC153" s="305"/>
      <c r="AD153" s="305" t="e">
        <f>IF(AB153&gt;0,S110-AB153,0)</f>
        <v>#DIV/0!</v>
      </c>
      <c r="AE153" s="226"/>
      <c r="AO153" s="234" t="str">
        <f>IF((AQ110+1)-AQ153&lt;(AQ110+1),(AQ110+1)-AQ153," ")</f>
        <v> </v>
      </c>
      <c r="AP153" s="235"/>
      <c r="AQ153" s="235">
        <f t="shared" si="24"/>
        <v>0</v>
      </c>
      <c r="AR153" s="235"/>
      <c r="AS153" s="235">
        <f>AQ153/((AQ110+1)*(AQ110/2))</f>
        <v>0</v>
      </c>
      <c r="AT153" s="235"/>
      <c r="AU153" s="235"/>
      <c r="AV153" s="305">
        <f>AS153*AU110</f>
        <v>0</v>
      </c>
      <c r="AW153" s="305"/>
      <c r="AX153" s="305">
        <f>IF(AV153&gt;0,AM110-AV153,0)</f>
        <v>0</v>
      </c>
      <c r="AY153" s="226"/>
      <c r="BJ153" s="234" t="str">
        <f>IF((BL109+1)-BL153&lt;(BL109+1),(BL109+1)-BL153," ")</f>
        <v> </v>
      </c>
      <c r="BK153" s="235"/>
      <c r="BL153" s="235">
        <f t="shared" si="20"/>
        <v>0</v>
      </c>
      <c r="BM153" s="235"/>
      <c r="BN153" s="235">
        <f>BL153/((BL109+1)*(BL109/2))</f>
        <v>0</v>
      </c>
      <c r="BO153" s="235"/>
      <c r="BP153" s="235"/>
      <c r="BQ153" s="305">
        <f>BN153*BP109</f>
        <v>0</v>
      </c>
      <c r="BR153" s="305"/>
      <c r="BS153" s="305">
        <f>IF(BQ153&gt;0,BH109-BQ153,0)</f>
        <v>0</v>
      </c>
      <c r="BT153" s="226"/>
      <c r="BX153" s="234" t="e">
        <f>IF((BZ109+1)-BZ153&lt;(BZ109+1),(BZ109+1)-BZ153," ")</f>
        <v>#REF!</v>
      </c>
      <c r="BY153" s="235"/>
      <c r="BZ153" s="235" t="e">
        <f t="shared" si="21"/>
        <v>#REF!</v>
      </c>
      <c r="CA153" s="235"/>
      <c r="CB153" s="235" t="e">
        <f>BZ153/((BZ109+1)*(BZ109/2))</f>
        <v>#REF!</v>
      </c>
      <c r="CC153" s="235"/>
      <c r="CD153" s="235"/>
      <c r="CE153" s="305" t="e">
        <f>CB153*CD109</f>
        <v>#REF!</v>
      </c>
      <c r="CF153" s="305"/>
      <c r="CG153" s="305" t="e">
        <f>IF(CE153&gt;0,BV109-CE153,0)</f>
        <v>#REF!</v>
      </c>
      <c r="CH153" s="226"/>
      <c r="CL153" s="234" t="e">
        <f>IF((CN109+1)-CN153&lt;(CN109+1),(CN109+1)-CN153," ")</f>
        <v>#REF!</v>
      </c>
      <c r="CM153" s="235"/>
      <c r="CN153" s="235" t="e">
        <f t="shared" si="22"/>
        <v>#REF!</v>
      </c>
      <c r="CO153" s="235"/>
      <c r="CP153" s="235" t="e">
        <f>CN153/((CN109+1)*(CN109/2))</f>
        <v>#REF!</v>
      </c>
      <c r="CQ153" s="235"/>
      <c r="CR153" s="235"/>
      <c r="CS153" s="305" t="e">
        <f>CP153*CR109</f>
        <v>#REF!</v>
      </c>
      <c r="CT153" s="305"/>
      <c r="CU153" s="305" t="e">
        <f>IF(CS153&gt;0,CJ109-CS153,0)</f>
        <v>#REF!</v>
      </c>
      <c r="CV153" s="226"/>
    </row>
    <row r="154" spans="6:100" ht="12.75" hidden="1">
      <c r="F154" s="384" t="e">
        <f>C154*#REF!</f>
        <v>#REF!</v>
      </c>
      <c r="I154" s="234" t="str">
        <f>IF((K109+1)-K154&lt;(K109+1),(K109+1)-K154," ")</f>
        <v> </v>
      </c>
      <c r="J154" s="235"/>
      <c r="K154" s="235">
        <f t="shared" si="19"/>
        <v>0</v>
      </c>
      <c r="L154" s="235"/>
      <c r="M154" s="235"/>
      <c r="N154" s="235"/>
      <c r="O154" s="305" t="e">
        <f>#REF!*N109</f>
        <v>#REF!</v>
      </c>
      <c r="P154" s="305"/>
      <c r="Q154" s="305" t="e">
        <f>IF(O154&gt;0,G109-O154,0)</f>
        <v>#REF!</v>
      </c>
      <c r="R154" s="226"/>
      <c r="U154" s="234" t="str">
        <f>IF((W110+1)-W154&lt;(W110+1),(W110+1)-W154," ")</f>
        <v> </v>
      </c>
      <c r="V154" s="235"/>
      <c r="W154" s="235">
        <f t="shared" si="23"/>
        <v>0</v>
      </c>
      <c r="X154" s="235"/>
      <c r="Y154" s="235" t="e">
        <f>W154/((W110+1)*(W110/2))</f>
        <v>#DIV/0!</v>
      </c>
      <c r="Z154" s="235"/>
      <c r="AA154" s="235"/>
      <c r="AB154" s="305" t="e">
        <f>Y154*AA110</f>
        <v>#DIV/0!</v>
      </c>
      <c r="AC154" s="305"/>
      <c r="AD154" s="305" t="e">
        <f>IF(AB154&gt;0,S110-AB154,0)</f>
        <v>#DIV/0!</v>
      </c>
      <c r="AE154" s="226"/>
      <c r="AO154" s="234" t="str">
        <f>IF((AQ110+1)-AQ154&lt;(AQ110+1),(AQ110+1)-AQ154," ")</f>
        <v> </v>
      </c>
      <c r="AP154" s="235"/>
      <c r="AQ154" s="235">
        <f t="shared" si="24"/>
        <v>0</v>
      </c>
      <c r="AR154" s="235"/>
      <c r="AS154" s="235">
        <f>AQ154/((AQ110+1)*(AQ110/2))</f>
        <v>0</v>
      </c>
      <c r="AT154" s="235"/>
      <c r="AU154" s="235"/>
      <c r="AV154" s="305">
        <f>AS154*AU110</f>
        <v>0</v>
      </c>
      <c r="AW154" s="305"/>
      <c r="AX154" s="305">
        <f>IF(AV154&gt;0,AM110-AV154,0)</f>
        <v>0</v>
      </c>
      <c r="AY154" s="226"/>
      <c r="BJ154" s="234" t="str">
        <f>IF((BL109+1)-BL154&lt;(BL109+1),(BL109+1)-BL154," ")</f>
        <v> </v>
      </c>
      <c r="BK154" s="235"/>
      <c r="BL154" s="235">
        <f t="shared" si="20"/>
        <v>0</v>
      </c>
      <c r="BM154" s="235"/>
      <c r="BN154" s="235">
        <f>BL154/((BL109+1)*(BL109/2))</f>
        <v>0</v>
      </c>
      <c r="BO154" s="235"/>
      <c r="BP154" s="235"/>
      <c r="BQ154" s="305">
        <f>BN154*BP109</f>
        <v>0</v>
      </c>
      <c r="BR154" s="305"/>
      <c r="BS154" s="305">
        <f>IF(BQ154&gt;0,BH109-BQ154,0)</f>
        <v>0</v>
      </c>
      <c r="BT154" s="226"/>
      <c r="BX154" s="234" t="e">
        <f>IF((BZ109+1)-BZ154&lt;(BZ109+1),(BZ109+1)-BZ154," ")</f>
        <v>#REF!</v>
      </c>
      <c r="BY154" s="235"/>
      <c r="BZ154" s="235" t="e">
        <f t="shared" si="21"/>
        <v>#REF!</v>
      </c>
      <c r="CA154" s="235"/>
      <c r="CB154" s="235" t="e">
        <f>BZ154/((BZ109+1)*(BZ109/2))</f>
        <v>#REF!</v>
      </c>
      <c r="CC154" s="235"/>
      <c r="CD154" s="235"/>
      <c r="CE154" s="305" t="e">
        <f>CB154*CD109</f>
        <v>#REF!</v>
      </c>
      <c r="CF154" s="305"/>
      <c r="CG154" s="305" t="e">
        <f>IF(CE154&gt;0,BV109-CE154,0)</f>
        <v>#REF!</v>
      </c>
      <c r="CH154" s="226"/>
      <c r="CL154" s="234" t="e">
        <f>IF((CN109+1)-CN154&lt;(CN109+1),(CN109+1)-CN154," ")</f>
        <v>#REF!</v>
      </c>
      <c r="CM154" s="235"/>
      <c r="CN154" s="235" t="e">
        <f t="shared" si="22"/>
        <v>#REF!</v>
      </c>
      <c r="CO154" s="235"/>
      <c r="CP154" s="235" t="e">
        <f>CN154/((CN109+1)*(CN109/2))</f>
        <v>#REF!</v>
      </c>
      <c r="CQ154" s="235"/>
      <c r="CR154" s="235"/>
      <c r="CS154" s="305" t="e">
        <f>CP154*CR109</f>
        <v>#REF!</v>
      </c>
      <c r="CT154" s="305"/>
      <c r="CU154" s="305" t="e">
        <f>IF(CS154&gt;0,CJ109-CS154,0)</f>
        <v>#REF!</v>
      </c>
      <c r="CV154" s="226"/>
    </row>
    <row r="155" spans="6:100" ht="12.75" hidden="1">
      <c r="F155" s="384" t="e">
        <f>C155*#REF!</f>
        <v>#REF!</v>
      </c>
      <c r="I155" s="234" t="str">
        <f>IF((K109+1)-K155&lt;(K109+1),(K109+1)-K155," ")</f>
        <v> </v>
      </c>
      <c r="J155" s="235"/>
      <c r="K155" s="235">
        <f t="shared" si="19"/>
        <v>0</v>
      </c>
      <c r="L155" s="235"/>
      <c r="M155" s="235"/>
      <c r="N155" s="235"/>
      <c r="O155" s="305" t="e">
        <f>#REF!*N109</f>
        <v>#REF!</v>
      </c>
      <c r="P155" s="305"/>
      <c r="Q155" s="305" t="e">
        <f>IF(O155&gt;0,G109-O155,0)</f>
        <v>#REF!</v>
      </c>
      <c r="R155" s="226"/>
      <c r="U155" s="234" t="str">
        <f>IF((W110+1)-W155&lt;(W110+1),(W110+1)-W155," ")</f>
        <v> </v>
      </c>
      <c r="V155" s="235"/>
      <c r="W155" s="235">
        <f t="shared" si="23"/>
        <v>0</v>
      </c>
      <c r="X155" s="235"/>
      <c r="Y155" s="235" t="e">
        <f>W155/((W110+1)*(W110/2))</f>
        <v>#DIV/0!</v>
      </c>
      <c r="Z155" s="235"/>
      <c r="AA155" s="235"/>
      <c r="AB155" s="305" t="e">
        <f>Y155*AA110</f>
        <v>#DIV/0!</v>
      </c>
      <c r="AC155" s="305"/>
      <c r="AD155" s="305" t="e">
        <f>IF(AB155&gt;0,S110-AB155,0)</f>
        <v>#DIV/0!</v>
      </c>
      <c r="AE155" s="226"/>
      <c r="AO155" s="234" t="str">
        <f>IF((AQ110+1)-AQ155&lt;(AQ110+1),(AQ110+1)-AQ155," ")</f>
        <v> </v>
      </c>
      <c r="AP155" s="235"/>
      <c r="AQ155" s="235">
        <f t="shared" si="24"/>
        <v>0</v>
      </c>
      <c r="AR155" s="235"/>
      <c r="AS155" s="235">
        <f>AQ155/((AQ110+1)*(AQ110/2))</f>
        <v>0</v>
      </c>
      <c r="AT155" s="235"/>
      <c r="AU155" s="235"/>
      <c r="AV155" s="305">
        <f>AS155*AU110</f>
        <v>0</v>
      </c>
      <c r="AW155" s="305"/>
      <c r="AX155" s="305">
        <f>IF(AV155&gt;0,AM110-AV155,0)</f>
        <v>0</v>
      </c>
      <c r="AY155" s="226"/>
      <c r="BJ155" s="234" t="str">
        <f>IF((BL109+1)-BL155&lt;(BL109+1),(BL109+1)-BL155," ")</f>
        <v> </v>
      </c>
      <c r="BK155" s="235"/>
      <c r="BL155" s="235">
        <f t="shared" si="20"/>
        <v>0</v>
      </c>
      <c r="BM155" s="235"/>
      <c r="BN155" s="235">
        <f>BL155/((BL109+1)*(BL109/2))</f>
        <v>0</v>
      </c>
      <c r="BO155" s="235"/>
      <c r="BP155" s="235"/>
      <c r="BQ155" s="305">
        <f>BN155*BP109</f>
        <v>0</v>
      </c>
      <c r="BR155" s="305"/>
      <c r="BS155" s="305">
        <f>IF(BQ155&gt;0,BH109-BQ155,0)</f>
        <v>0</v>
      </c>
      <c r="BT155" s="226"/>
      <c r="BX155" s="234" t="e">
        <f>IF((BZ109+1)-BZ155&lt;(BZ109+1),(BZ109+1)-BZ155," ")</f>
        <v>#REF!</v>
      </c>
      <c r="BY155" s="235"/>
      <c r="BZ155" s="235" t="e">
        <f t="shared" si="21"/>
        <v>#REF!</v>
      </c>
      <c r="CA155" s="235"/>
      <c r="CB155" s="235" t="e">
        <f>BZ155/((BZ109+1)*(BZ109/2))</f>
        <v>#REF!</v>
      </c>
      <c r="CC155" s="235"/>
      <c r="CD155" s="235"/>
      <c r="CE155" s="305" t="e">
        <f>CB155*CD109</f>
        <v>#REF!</v>
      </c>
      <c r="CF155" s="305"/>
      <c r="CG155" s="305" t="e">
        <f>IF(CE155&gt;0,BV109-CE155,0)</f>
        <v>#REF!</v>
      </c>
      <c r="CH155" s="226"/>
      <c r="CL155" s="234" t="e">
        <f>IF((CN109+1)-CN155&lt;(CN109+1),(CN109+1)-CN155," ")</f>
        <v>#REF!</v>
      </c>
      <c r="CM155" s="235"/>
      <c r="CN155" s="235" t="e">
        <f t="shared" si="22"/>
        <v>#REF!</v>
      </c>
      <c r="CO155" s="235"/>
      <c r="CP155" s="235" t="e">
        <f>CN155/((CN109+1)*(CN109/2))</f>
        <v>#REF!</v>
      </c>
      <c r="CQ155" s="235"/>
      <c r="CR155" s="235"/>
      <c r="CS155" s="305" t="e">
        <f>CP155*CR109</f>
        <v>#REF!</v>
      </c>
      <c r="CT155" s="305"/>
      <c r="CU155" s="305" t="e">
        <f>IF(CS155&gt;0,CJ109-CS155,0)</f>
        <v>#REF!</v>
      </c>
      <c r="CV155" s="226"/>
    </row>
    <row r="156" spans="6:100" ht="12.75" hidden="1">
      <c r="F156" s="384" t="e">
        <f>C156*#REF!</f>
        <v>#REF!</v>
      </c>
      <c r="I156" s="234" t="str">
        <f>IF((K109+1)-K156&lt;(K109+1),(K109+1)-K156," ")</f>
        <v> </v>
      </c>
      <c r="J156" s="235"/>
      <c r="K156" s="235">
        <f t="shared" si="19"/>
        <v>0</v>
      </c>
      <c r="L156" s="235"/>
      <c r="M156" s="235"/>
      <c r="N156" s="235"/>
      <c r="O156" s="305" t="e">
        <f>#REF!*N109</f>
        <v>#REF!</v>
      </c>
      <c r="P156" s="305"/>
      <c r="Q156" s="305" t="e">
        <f>IF(O156&gt;0,G109-O156,0)</f>
        <v>#REF!</v>
      </c>
      <c r="R156" s="226"/>
      <c r="U156" s="234" t="str">
        <f>IF((W110+1)-W156&lt;(W110+1),(W110+1)-W156," ")</f>
        <v> </v>
      </c>
      <c r="V156" s="235"/>
      <c r="W156" s="235">
        <f t="shared" si="23"/>
        <v>0</v>
      </c>
      <c r="X156" s="235"/>
      <c r="Y156" s="235" t="e">
        <f>W156/((W110+1)*(W110/2))</f>
        <v>#DIV/0!</v>
      </c>
      <c r="Z156" s="235"/>
      <c r="AA156" s="235"/>
      <c r="AB156" s="305" t="e">
        <f>Y156*AA110</f>
        <v>#DIV/0!</v>
      </c>
      <c r="AC156" s="305"/>
      <c r="AD156" s="305" t="e">
        <f>IF(AB156&gt;0,S110-AB156,0)</f>
        <v>#DIV/0!</v>
      </c>
      <c r="AE156" s="226"/>
      <c r="AO156" s="234" t="str">
        <f>IF((AQ110+1)-AQ156&lt;(AQ110+1),(AQ110+1)-AQ156," ")</f>
        <v> </v>
      </c>
      <c r="AP156" s="235"/>
      <c r="AQ156" s="235">
        <f t="shared" si="24"/>
        <v>0</v>
      </c>
      <c r="AR156" s="235"/>
      <c r="AS156" s="235">
        <f>AQ156/((AQ110+1)*(AQ110/2))</f>
        <v>0</v>
      </c>
      <c r="AT156" s="235"/>
      <c r="AU156" s="235"/>
      <c r="AV156" s="305">
        <f>AS156*AU110</f>
        <v>0</v>
      </c>
      <c r="AW156" s="305"/>
      <c r="AX156" s="305">
        <f>IF(AV156&gt;0,AM110-AV156,0)</f>
        <v>0</v>
      </c>
      <c r="AY156" s="226"/>
      <c r="BJ156" s="234" t="str">
        <f>IF((BL109+1)-BL156&lt;(BL109+1),(BL109+1)-BL156," ")</f>
        <v> </v>
      </c>
      <c r="BK156" s="235"/>
      <c r="BL156" s="235">
        <f t="shared" si="20"/>
        <v>0</v>
      </c>
      <c r="BM156" s="235"/>
      <c r="BN156" s="235">
        <f>BL156/((BL109+1)*(BL109/2))</f>
        <v>0</v>
      </c>
      <c r="BO156" s="235"/>
      <c r="BP156" s="235"/>
      <c r="BQ156" s="305">
        <f>BN156*BP109</f>
        <v>0</v>
      </c>
      <c r="BR156" s="305"/>
      <c r="BS156" s="305">
        <f>IF(BQ156&gt;0,BH109-BQ156,0)</f>
        <v>0</v>
      </c>
      <c r="BT156" s="226"/>
      <c r="BX156" s="234" t="e">
        <f>IF((BZ109+1)-BZ156&lt;(BZ109+1),(BZ109+1)-BZ156," ")</f>
        <v>#REF!</v>
      </c>
      <c r="BY156" s="235"/>
      <c r="BZ156" s="235" t="e">
        <f t="shared" si="21"/>
        <v>#REF!</v>
      </c>
      <c r="CA156" s="235"/>
      <c r="CB156" s="235" t="e">
        <f>BZ156/((BZ109+1)*(BZ109/2))</f>
        <v>#REF!</v>
      </c>
      <c r="CC156" s="235"/>
      <c r="CD156" s="235"/>
      <c r="CE156" s="305" t="e">
        <f>CB156*CD109</f>
        <v>#REF!</v>
      </c>
      <c r="CF156" s="305"/>
      <c r="CG156" s="305" t="e">
        <f>IF(CE156&gt;0,BV109-CE156,0)</f>
        <v>#REF!</v>
      </c>
      <c r="CH156" s="226"/>
      <c r="CL156" s="234" t="e">
        <f>IF((CN109+1)-CN156&lt;(CN109+1),(CN109+1)-CN156," ")</f>
        <v>#REF!</v>
      </c>
      <c r="CM156" s="235"/>
      <c r="CN156" s="235" t="e">
        <f t="shared" si="22"/>
        <v>#REF!</v>
      </c>
      <c r="CO156" s="235"/>
      <c r="CP156" s="235" t="e">
        <f>CN156/((CN109+1)*(CN109/2))</f>
        <v>#REF!</v>
      </c>
      <c r="CQ156" s="235"/>
      <c r="CR156" s="235"/>
      <c r="CS156" s="305" t="e">
        <f>CP156*CR109</f>
        <v>#REF!</v>
      </c>
      <c r="CT156" s="305"/>
      <c r="CU156" s="305" t="e">
        <f>IF(CS156&gt;0,CJ109-CS156,0)</f>
        <v>#REF!</v>
      </c>
      <c r="CV156" s="226"/>
    </row>
    <row r="157" spans="6:100" ht="12.75" hidden="1">
      <c r="F157" s="384" t="e">
        <f>C157*#REF!</f>
        <v>#REF!</v>
      </c>
      <c r="I157" s="234" t="str">
        <f>IF((K109+1)-K157&lt;(K109+1),(K109+1)-K157," ")</f>
        <v> </v>
      </c>
      <c r="J157" s="235"/>
      <c r="K157" s="235">
        <f t="shared" si="19"/>
        <v>0</v>
      </c>
      <c r="L157" s="235"/>
      <c r="M157" s="235"/>
      <c r="N157" s="235"/>
      <c r="O157" s="305" t="e">
        <f>#REF!*N109</f>
        <v>#REF!</v>
      </c>
      <c r="P157" s="305"/>
      <c r="Q157" s="305" t="e">
        <f>IF(O157&gt;0,G109-O157,0)</f>
        <v>#REF!</v>
      </c>
      <c r="R157" s="226"/>
      <c r="U157" s="234" t="str">
        <f>IF((W110+1)-W157&lt;(W110+1),(W110+1)-W157," ")</f>
        <v> </v>
      </c>
      <c r="V157" s="235"/>
      <c r="W157" s="235">
        <f t="shared" si="23"/>
        <v>0</v>
      </c>
      <c r="X157" s="235"/>
      <c r="Y157" s="235" t="e">
        <f>W157/((W110+1)*(W110/2))</f>
        <v>#DIV/0!</v>
      </c>
      <c r="Z157" s="235"/>
      <c r="AA157" s="235"/>
      <c r="AB157" s="305" t="e">
        <f>Y157*AA110</f>
        <v>#DIV/0!</v>
      </c>
      <c r="AC157" s="305"/>
      <c r="AD157" s="305" t="e">
        <f>IF(AB157&gt;0,S110-AB157,0)</f>
        <v>#DIV/0!</v>
      </c>
      <c r="AE157" s="226"/>
      <c r="AO157" s="234" t="str">
        <f>IF((AQ110+1)-AQ157&lt;(AQ110+1),(AQ110+1)-AQ157," ")</f>
        <v> </v>
      </c>
      <c r="AP157" s="235"/>
      <c r="AQ157" s="235">
        <f t="shared" si="24"/>
        <v>0</v>
      </c>
      <c r="AR157" s="235"/>
      <c r="AS157" s="235">
        <f>AQ157/((AQ110+1)*(AQ110/2))</f>
        <v>0</v>
      </c>
      <c r="AT157" s="235"/>
      <c r="AU157" s="235"/>
      <c r="AV157" s="305">
        <f>AS157*AU110</f>
        <v>0</v>
      </c>
      <c r="AW157" s="305"/>
      <c r="AX157" s="305">
        <f>IF(AV157&gt;0,AM110-AV157,0)</f>
        <v>0</v>
      </c>
      <c r="AY157" s="226"/>
      <c r="BJ157" s="234" t="str">
        <f>IF((BL109+1)-BL157&lt;(BL109+1),(BL109+1)-BL157," ")</f>
        <v> </v>
      </c>
      <c r="BK157" s="235"/>
      <c r="BL157" s="235">
        <f t="shared" si="20"/>
        <v>0</v>
      </c>
      <c r="BM157" s="235"/>
      <c r="BN157" s="235">
        <f>BL157/((BL109+1)*(BL109/2))</f>
        <v>0</v>
      </c>
      <c r="BO157" s="235"/>
      <c r="BP157" s="235"/>
      <c r="BQ157" s="305">
        <f>BN157*BP109</f>
        <v>0</v>
      </c>
      <c r="BR157" s="305"/>
      <c r="BS157" s="305">
        <f>IF(BQ157&gt;0,BH109-BQ157,0)</f>
        <v>0</v>
      </c>
      <c r="BT157" s="226"/>
      <c r="BX157" s="234" t="e">
        <f>IF((BZ109+1)-BZ157&lt;(BZ109+1),(BZ109+1)-BZ157," ")</f>
        <v>#REF!</v>
      </c>
      <c r="BY157" s="235"/>
      <c r="BZ157" s="235" t="e">
        <f t="shared" si="21"/>
        <v>#REF!</v>
      </c>
      <c r="CA157" s="235"/>
      <c r="CB157" s="235" t="e">
        <f>BZ157/((BZ109+1)*(BZ109/2))</f>
        <v>#REF!</v>
      </c>
      <c r="CC157" s="235"/>
      <c r="CD157" s="235"/>
      <c r="CE157" s="305" t="e">
        <f>CB157*CD109</f>
        <v>#REF!</v>
      </c>
      <c r="CF157" s="305"/>
      <c r="CG157" s="305" t="e">
        <f>IF(CE157&gt;0,BV109-CE157,0)</f>
        <v>#REF!</v>
      </c>
      <c r="CH157" s="226"/>
      <c r="CL157" s="234" t="e">
        <f>IF((CN109+1)-CN157&lt;(CN109+1),(CN109+1)-CN157," ")</f>
        <v>#REF!</v>
      </c>
      <c r="CM157" s="235"/>
      <c r="CN157" s="235" t="e">
        <f t="shared" si="22"/>
        <v>#REF!</v>
      </c>
      <c r="CO157" s="235"/>
      <c r="CP157" s="235" t="e">
        <f>CN157/((CN109+1)*(CN109/2))</f>
        <v>#REF!</v>
      </c>
      <c r="CQ157" s="235"/>
      <c r="CR157" s="235"/>
      <c r="CS157" s="305" t="e">
        <f>CP157*CR109</f>
        <v>#REF!</v>
      </c>
      <c r="CT157" s="305"/>
      <c r="CU157" s="305" t="e">
        <f>IF(CS157&gt;0,CJ109-CS157,0)</f>
        <v>#REF!</v>
      </c>
      <c r="CV157" s="226"/>
    </row>
    <row r="158" spans="6:100" ht="12.75" hidden="1">
      <c r="F158" s="384" t="e">
        <f>C158*#REF!</f>
        <v>#REF!</v>
      </c>
      <c r="I158" s="234" t="str">
        <f>IF((K109+1)-K158&lt;(K109+1),(K109+1)-K158," ")</f>
        <v> </v>
      </c>
      <c r="J158" s="235"/>
      <c r="K158" s="235">
        <f t="shared" si="19"/>
        <v>0</v>
      </c>
      <c r="L158" s="235"/>
      <c r="M158" s="235"/>
      <c r="N158" s="235"/>
      <c r="O158" s="305" t="e">
        <f>#REF!*N109</f>
        <v>#REF!</v>
      </c>
      <c r="P158" s="305"/>
      <c r="Q158" s="305" t="e">
        <f>IF(O158&gt;0,G109-O158,0)</f>
        <v>#REF!</v>
      </c>
      <c r="R158" s="226"/>
      <c r="U158" s="234" t="str">
        <f>IF((W110+1)-W158&lt;(W110+1),(W110+1)-W158," ")</f>
        <v> </v>
      </c>
      <c r="V158" s="235"/>
      <c r="W158" s="235">
        <f t="shared" si="23"/>
        <v>0</v>
      </c>
      <c r="X158" s="235"/>
      <c r="Y158" s="235" t="e">
        <f>W158/((W110+1)*(W110/2))</f>
        <v>#DIV/0!</v>
      </c>
      <c r="Z158" s="235"/>
      <c r="AA158" s="235"/>
      <c r="AB158" s="305" t="e">
        <f>Y158*AA110</f>
        <v>#DIV/0!</v>
      </c>
      <c r="AC158" s="305"/>
      <c r="AD158" s="305" t="e">
        <f>IF(AB158&gt;0,S110-AB158,0)</f>
        <v>#DIV/0!</v>
      </c>
      <c r="AE158" s="226"/>
      <c r="AO158" s="234" t="str">
        <f>IF((AQ110+1)-AQ158&lt;(AQ110+1),(AQ110+1)-AQ158," ")</f>
        <v> </v>
      </c>
      <c r="AP158" s="235"/>
      <c r="AQ158" s="235">
        <f t="shared" si="24"/>
        <v>0</v>
      </c>
      <c r="AR158" s="235"/>
      <c r="AS158" s="235">
        <f>AQ158/((AQ110+1)*(AQ110/2))</f>
        <v>0</v>
      </c>
      <c r="AT158" s="235"/>
      <c r="AU158" s="235"/>
      <c r="AV158" s="305">
        <f>AS158*AU110</f>
        <v>0</v>
      </c>
      <c r="AW158" s="305"/>
      <c r="AX158" s="305">
        <f>IF(AV158&gt;0,AM110-AV158,0)</f>
        <v>0</v>
      </c>
      <c r="AY158" s="226"/>
      <c r="BJ158" s="234" t="str">
        <f>IF((BL109+1)-BL158&lt;(BL109+1),(BL109+1)-BL158," ")</f>
        <v> </v>
      </c>
      <c r="BK158" s="235"/>
      <c r="BL158" s="235">
        <f t="shared" si="20"/>
        <v>0</v>
      </c>
      <c r="BM158" s="235"/>
      <c r="BN158" s="235">
        <f>BL158/((BL109+1)*(BL109/2))</f>
        <v>0</v>
      </c>
      <c r="BO158" s="235"/>
      <c r="BP158" s="235"/>
      <c r="BQ158" s="305">
        <f>BN158*BP109</f>
        <v>0</v>
      </c>
      <c r="BR158" s="305"/>
      <c r="BS158" s="305">
        <f>IF(BQ158&gt;0,BH109-BQ158,0)</f>
        <v>0</v>
      </c>
      <c r="BT158" s="226"/>
      <c r="BX158" s="234" t="e">
        <f>IF((BZ109+1)-BZ158&lt;(BZ109+1),(BZ109+1)-BZ158," ")</f>
        <v>#REF!</v>
      </c>
      <c r="BY158" s="235"/>
      <c r="BZ158" s="235" t="e">
        <f t="shared" si="21"/>
        <v>#REF!</v>
      </c>
      <c r="CA158" s="235"/>
      <c r="CB158" s="235" t="e">
        <f>BZ158/((BZ109+1)*(BZ109/2))</f>
        <v>#REF!</v>
      </c>
      <c r="CC158" s="235"/>
      <c r="CD158" s="235"/>
      <c r="CE158" s="305" t="e">
        <f>CB158*CD109</f>
        <v>#REF!</v>
      </c>
      <c r="CF158" s="305"/>
      <c r="CG158" s="305" t="e">
        <f>IF(CE158&gt;0,BV109-CE158,0)</f>
        <v>#REF!</v>
      </c>
      <c r="CH158" s="226"/>
      <c r="CL158" s="234" t="e">
        <f>IF((CN109+1)-CN158&lt;(CN109+1),(CN109+1)-CN158," ")</f>
        <v>#REF!</v>
      </c>
      <c r="CM158" s="235"/>
      <c r="CN158" s="235" t="e">
        <f t="shared" si="22"/>
        <v>#REF!</v>
      </c>
      <c r="CO158" s="235"/>
      <c r="CP158" s="235" t="e">
        <f>CN158/((CN109+1)*(CN109/2))</f>
        <v>#REF!</v>
      </c>
      <c r="CQ158" s="235"/>
      <c r="CR158" s="235"/>
      <c r="CS158" s="305" t="e">
        <f>CP158*CR109</f>
        <v>#REF!</v>
      </c>
      <c r="CT158" s="305"/>
      <c r="CU158" s="305" t="e">
        <f>IF(CS158&gt;0,CJ109-CS158,0)</f>
        <v>#REF!</v>
      </c>
      <c r="CV158" s="226"/>
    </row>
    <row r="159" spans="6:100" ht="12.75" hidden="1">
      <c r="F159" s="384" t="e">
        <f>C159*#REF!</f>
        <v>#REF!</v>
      </c>
      <c r="I159" s="234" t="str">
        <f>IF((K109+1)-K159&lt;(K109+1),(K109+1)-K159," ")</f>
        <v> </v>
      </c>
      <c r="J159" s="235"/>
      <c r="K159" s="235">
        <f t="shared" si="19"/>
        <v>0</v>
      </c>
      <c r="L159" s="235"/>
      <c r="M159" s="235"/>
      <c r="N159" s="235"/>
      <c r="O159" s="305" t="e">
        <f>#REF!*N109</f>
        <v>#REF!</v>
      </c>
      <c r="P159" s="305"/>
      <c r="Q159" s="305" t="e">
        <f>IF(O159&gt;0,G109-O159,0)</f>
        <v>#REF!</v>
      </c>
      <c r="R159" s="226"/>
      <c r="U159" s="234" t="str">
        <f>IF((W110+1)-W159&lt;(W110+1),(W110+1)-W159," ")</f>
        <v> </v>
      </c>
      <c r="V159" s="235"/>
      <c r="W159" s="235">
        <f t="shared" si="23"/>
        <v>0</v>
      </c>
      <c r="X159" s="235"/>
      <c r="Y159" s="235" t="e">
        <f>W159/((W110+1)*(W110/2))</f>
        <v>#DIV/0!</v>
      </c>
      <c r="Z159" s="235"/>
      <c r="AA159" s="235"/>
      <c r="AB159" s="305" t="e">
        <f>Y159*AA110</f>
        <v>#DIV/0!</v>
      </c>
      <c r="AC159" s="305"/>
      <c r="AD159" s="305" t="e">
        <f>IF(AB159&gt;0,S110-AB159,0)</f>
        <v>#DIV/0!</v>
      </c>
      <c r="AE159" s="226"/>
      <c r="AO159" s="234" t="str">
        <f>IF((AQ110+1)-AQ159&lt;(AQ110+1),(AQ110+1)-AQ159," ")</f>
        <v> </v>
      </c>
      <c r="AP159" s="235"/>
      <c r="AQ159" s="235">
        <f t="shared" si="24"/>
        <v>0</v>
      </c>
      <c r="AR159" s="235"/>
      <c r="AS159" s="235">
        <f>AQ159/((AQ110+1)*(AQ110/2))</f>
        <v>0</v>
      </c>
      <c r="AT159" s="235"/>
      <c r="AU159" s="235"/>
      <c r="AV159" s="305">
        <f>AS159*AU110</f>
        <v>0</v>
      </c>
      <c r="AW159" s="305"/>
      <c r="AX159" s="305">
        <f>IF(AV159&gt;0,AM110-AV159,0)</f>
        <v>0</v>
      </c>
      <c r="AY159" s="226"/>
      <c r="BJ159" s="234" t="str">
        <f>IF((BL109+1)-BL159&lt;(BL109+1),(BL109+1)-BL159," ")</f>
        <v> </v>
      </c>
      <c r="BK159" s="235"/>
      <c r="BL159" s="235">
        <f t="shared" si="20"/>
        <v>0</v>
      </c>
      <c r="BM159" s="235"/>
      <c r="BN159" s="235">
        <f>BL159/((BL109+1)*(BL109/2))</f>
        <v>0</v>
      </c>
      <c r="BO159" s="235"/>
      <c r="BP159" s="235"/>
      <c r="BQ159" s="305">
        <f>BN159*BP109</f>
        <v>0</v>
      </c>
      <c r="BR159" s="305"/>
      <c r="BS159" s="305">
        <f>IF(BQ159&gt;0,BH109-BQ159,0)</f>
        <v>0</v>
      </c>
      <c r="BT159" s="226"/>
      <c r="BX159" s="234" t="e">
        <f>IF((BZ109+1)-BZ159&lt;(BZ109+1),(BZ109+1)-BZ159," ")</f>
        <v>#REF!</v>
      </c>
      <c r="BY159" s="235"/>
      <c r="BZ159" s="235" t="e">
        <f t="shared" si="21"/>
        <v>#REF!</v>
      </c>
      <c r="CA159" s="235"/>
      <c r="CB159" s="235" t="e">
        <f>BZ159/((BZ109+1)*(BZ109/2))</f>
        <v>#REF!</v>
      </c>
      <c r="CC159" s="235"/>
      <c r="CD159" s="235"/>
      <c r="CE159" s="305" t="e">
        <f>CB159*CD109</f>
        <v>#REF!</v>
      </c>
      <c r="CF159" s="305"/>
      <c r="CG159" s="305" t="e">
        <f>IF(CE159&gt;0,BV109-CE159,0)</f>
        <v>#REF!</v>
      </c>
      <c r="CH159" s="226"/>
      <c r="CL159" s="234" t="e">
        <f>IF((CN109+1)-CN159&lt;(CN109+1),(CN109+1)-CN159," ")</f>
        <v>#REF!</v>
      </c>
      <c r="CM159" s="235"/>
      <c r="CN159" s="235" t="e">
        <f t="shared" si="22"/>
        <v>#REF!</v>
      </c>
      <c r="CO159" s="235"/>
      <c r="CP159" s="235" t="e">
        <f>CN159/((CN109+1)*(CN109/2))</f>
        <v>#REF!</v>
      </c>
      <c r="CQ159" s="235"/>
      <c r="CR159" s="235"/>
      <c r="CS159" s="305" t="e">
        <f>CP159*CR109</f>
        <v>#REF!</v>
      </c>
      <c r="CT159" s="305"/>
      <c r="CU159" s="305" t="e">
        <f>IF(CS159&gt;0,CJ109-CS159,0)</f>
        <v>#REF!</v>
      </c>
      <c r="CV159" s="226"/>
    </row>
    <row r="160" spans="6:100" ht="12.75" hidden="1">
      <c r="F160" s="384" t="e">
        <f>C160*#REF!</f>
        <v>#REF!</v>
      </c>
      <c r="I160" s="234" t="str">
        <f>IF((K109+1)-K160&lt;(K109+1),(K109+1)-K160," ")</f>
        <v> </v>
      </c>
      <c r="J160" s="235"/>
      <c r="K160" s="235">
        <f t="shared" si="19"/>
        <v>0</v>
      </c>
      <c r="L160" s="235"/>
      <c r="M160" s="235"/>
      <c r="N160" s="235"/>
      <c r="O160" s="305" t="e">
        <f>#REF!*N109</f>
        <v>#REF!</v>
      </c>
      <c r="P160" s="305"/>
      <c r="Q160" s="305" t="e">
        <f>IF(O160&gt;0,G109-O160,0)</f>
        <v>#REF!</v>
      </c>
      <c r="R160" s="226"/>
      <c r="U160" s="234" t="str">
        <f>IF((W110+1)-W160&lt;(W110+1),(W110+1)-W160," ")</f>
        <v> </v>
      </c>
      <c r="V160" s="235"/>
      <c r="W160" s="235">
        <f t="shared" si="23"/>
        <v>0</v>
      </c>
      <c r="X160" s="235"/>
      <c r="Y160" s="235" t="e">
        <f>W160/((W110+1)*(W110/2))</f>
        <v>#DIV/0!</v>
      </c>
      <c r="Z160" s="235"/>
      <c r="AA160" s="235"/>
      <c r="AB160" s="305" t="e">
        <f>Y160*AA110</f>
        <v>#DIV/0!</v>
      </c>
      <c r="AC160" s="305"/>
      <c r="AD160" s="305" t="e">
        <f>IF(AB160&gt;0,S110-AB160,0)</f>
        <v>#DIV/0!</v>
      </c>
      <c r="AE160" s="226"/>
      <c r="AO160" s="234" t="str">
        <f>IF((AQ110+1)-AQ160&lt;(AQ110+1),(AQ110+1)-AQ160," ")</f>
        <v> </v>
      </c>
      <c r="AP160" s="235"/>
      <c r="AQ160" s="235">
        <f t="shared" si="24"/>
        <v>0</v>
      </c>
      <c r="AR160" s="235"/>
      <c r="AS160" s="235">
        <f>AQ160/((AQ110+1)*(AQ110/2))</f>
        <v>0</v>
      </c>
      <c r="AT160" s="235"/>
      <c r="AU160" s="235"/>
      <c r="AV160" s="305">
        <f>AS160*AU110</f>
        <v>0</v>
      </c>
      <c r="AW160" s="305"/>
      <c r="AX160" s="305">
        <f>IF(AV160&gt;0,AM110-AV160,0)</f>
        <v>0</v>
      </c>
      <c r="AY160" s="226"/>
      <c r="BJ160" s="234" t="str">
        <f>IF((BL109+1)-BL160&lt;(BL109+1),(BL109+1)-BL160," ")</f>
        <v> </v>
      </c>
      <c r="BK160" s="235"/>
      <c r="BL160" s="235">
        <f t="shared" si="20"/>
        <v>0</v>
      </c>
      <c r="BM160" s="235"/>
      <c r="BN160" s="235">
        <f>BL160/((BL109+1)*(BL109/2))</f>
        <v>0</v>
      </c>
      <c r="BO160" s="235"/>
      <c r="BP160" s="235"/>
      <c r="BQ160" s="305">
        <f>BN160*BP109</f>
        <v>0</v>
      </c>
      <c r="BR160" s="305"/>
      <c r="BS160" s="305">
        <f>IF(BQ160&gt;0,BH109-BQ160,0)</f>
        <v>0</v>
      </c>
      <c r="BT160" s="226"/>
      <c r="BX160" s="234" t="e">
        <f>IF((BZ109+1)-BZ160&lt;(BZ109+1),(BZ109+1)-BZ160," ")</f>
        <v>#REF!</v>
      </c>
      <c r="BY160" s="235"/>
      <c r="BZ160" s="235" t="e">
        <f t="shared" si="21"/>
        <v>#REF!</v>
      </c>
      <c r="CA160" s="235"/>
      <c r="CB160" s="235" t="e">
        <f>BZ160/((BZ109+1)*(BZ109/2))</f>
        <v>#REF!</v>
      </c>
      <c r="CC160" s="235"/>
      <c r="CD160" s="235"/>
      <c r="CE160" s="305" t="e">
        <f>CB160*CD109</f>
        <v>#REF!</v>
      </c>
      <c r="CF160" s="305"/>
      <c r="CG160" s="305" t="e">
        <f>IF(CE160&gt;0,BV109-CE160,0)</f>
        <v>#REF!</v>
      </c>
      <c r="CH160" s="226"/>
      <c r="CL160" s="234" t="e">
        <f>IF((CN109+1)-CN160&lt;(CN109+1),(CN109+1)-CN160," ")</f>
        <v>#REF!</v>
      </c>
      <c r="CM160" s="235"/>
      <c r="CN160" s="235" t="e">
        <f t="shared" si="22"/>
        <v>#REF!</v>
      </c>
      <c r="CO160" s="235"/>
      <c r="CP160" s="235" t="e">
        <f>CN160/((CN109+1)*(CN109/2))</f>
        <v>#REF!</v>
      </c>
      <c r="CQ160" s="235"/>
      <c r="CR160" s="235"/>
      <c r="CS160" s="305" t="e">
        <f>CP160*CR109</f>
        <v>#REF!</v>
      </c>
      <c r="CT160" s="305"/>
      <c r="CU160" s="305" t="e">
        <f>IF(CS160&gt;0,CJ109-CS160,0)</f>
        <v>#REF!</v>
      </c>
      <c r="CV160" s="226"/>
    </row>
    <row r="161" spans="6:100" ht="12.75" hidden="1">
      <c r="F161" s="384" t="e">
        <f>C161*#REF!</f>
        <v>#REF!</v>
      </c>
      <c r="I161" s="234" t="str">
        <f>IF((K109+1)-K161&lt;(K109+1),(K109+1)-K161," ")</f>
        <v> </v>
      </c>
      <c r="J161" s="235"/>
      <c r="K161" s="235">
        <f t="shared" si="19"/>
        <v>0</v>
      </c>
      <c r="L161" s="235"/>
      <c r="M161" s="235"/>
      <c r="N161" s="235"/>
      <c r="O161" s="305" t="e">
        <f>#REF!*N109</f>
        <v>#REF!</v>
      </c>
      <c r="P161" s="305"/>
      <c r="Q161" s="305" t="e">
        <f>IF(O161&gt;0,G109-O161,0)</f>
        <v>#REF!</v>
      </c>
      <c r="R161" s="226"/>
      <c r="U161" s="234" t="str">
        <f>IF((W110+1)-W161&lt;(W110+1),(W110+1)-W161," ")</f>
        <v> </v>
      </c>
      <c r="V161" s="235"/>
      <c r="W161" s="235">
        <f t="shared" si="23"/>
        <v>0</v>
      </c>
      <c r="X161" s="235"/>
      <c r="Y161" s="235" t="e">
        <f>W161/((W110+1)*(W110/2))</f>
        <v>#DIV/0!</v>
      </c>
      <c r="Z161" s="235"/>
      <c r="AA161" s="235"/>
      <c r="AB161" s="305" t="e">
        <f>Y161*AA110</f>
        <v>#DIV/0!</v>
      </c>
      <c r="AC161" s="305"/>
      <c r="AD161" s="305" t="e">
        <f>IF(AB161&gt;0,S110-AB161,0)</f>
        <v>#DIV/0!</v>
      </c>
      <c r="AE161" s="226"/>
      <c r="AO161" s="234" t="str">
        <f>IF((AQ110+1)-AQ161&lt;(AQ110+1),(AQ110+1)-AQ161," ")</f>
        <v> </v>
      </c>
      <c r="AP161" s="235"/>
      <c r="AQ161" s="235">
        <f t="shared" si="24"/>
        <v>0</v>
      </c>
      <c r="AR161" s="235"/>
      <c r="AS161" s="235">
        <f>AQ161/((AQ110+1)*(AQ110/2))</f>
        <v>0</v>
      </c>
      <c r="AT161" s="235"/>
      <c r="AU161" s="235"/>
      <c r="AV161" s="305">
        <f>AS161*AU110</f>
        <v>0</v>
      </c>
      <c r="AW161" s="305"/>
      <c r="AX161" s="305">
        <f>IF(AV161&gt;0,AM110-AV161,0)</f>
        <v>0</v>
      </c>
      <c r="AY161" s="226"/>
      <c r="BJ161" s="234" t="str">
        <f>IF((BL109+1)-BL161&lt;(BL109+1),(BL109+1)-BL161," ")</f>
        <v> </v>
      </c>
      <c r="BK161" s="235"/>
      <c r="BL161" s="235">
        <f t="shared" si="20"/>
        <v>0</v>
      </c>
      <c r="BM161" s="235"/>
      <c r="BN161" s="235">
        <f>BL161/((BL109+1)*(BL109/2))</f>
        <v>0</v>
      </c>
      <c r="BO161" s="235"/>
      <c r="BP161" s="235"/>
      <c r="BQ161" s="305">
        <f>BN161*BP109</f>
        <v>0</v>
      </c>
      <c r="BR161" s="305"/>
      <c r="BS161" s="305">
        <f>IF(BQ161&gt;0,BH109-BQ161,0)</f>
        <v>0</v>
      </c>
      <c r="BT161" s="226"/>
      <c r="BX161" s="234" t="e">
        <f>IF((BZ109+1)-BZ161&lt;(BZ109+1),(BZ109+1)-BZ161," ")</f>
        <v>#REF!</v>
      </c>
      <c r="BY161" s="235"/>
      <c r="BZ161" s="235" t="e">
        <f t="shared" si="21"/>
        <v>#REF!</v>
      </c>
      <c r="CA161" s="235"/>
      <c r="CB161" s="235" t="e">
        <f>BZ161/((BZ109+1)*(BZ109/2))</f>
        <v>#REF!</v>
      </c>
      <c r="CC161" s="235"/>
      <c r="CD161" s="235"/>
      <c r="CE161" s="305" t="e">
        <f>CB161*CD109</f>
        <v>#REF!</v>
      </c>
      <c r="CF161" s="305"/>
      <c r="CG161" s="305" t="e">
        <f>IF(CE161&gt;0,BV109-CE161,0)</f>
        <v>#REF!</v>
      </c>
      <c r="CH161" s="226"/>
      <c r="CL161" s="234" t="e">
        <f>IF((CN109+1)-CN161&lt;(CN109+1),(CN109+1)-CN161," ")</f>
        <v>#REF!</v>
      </c>
      <c r="CM161" s="235"/>
      <c r="CN161" s="235" t="e">
        <f t="shared" si="22"/>
        <v>#REF!</v>
      </c>
      <c r="CO161" s="235"/>
      <c r="CP161" s="235" t="e">
        <f>CN161/((CN109+1)*(CN109/2))</f>
        <v>#REF!</v>
      </c>
      <c r="CQ161" s="235"/>
      <c r="CR161" s="235"/>
      <c r="CS161" s="305" t="e">
        <f>CP161*CR109</f>
        <v>#REF!</v>
      </c>
      <c r="CT161" s="305"/>
      <c r="CU161" s="305" t="e">
        <f>IF(CS161&gt;0,CJ109-CS161,0)</f>
        <v>#REF!</v>
      </c>
      <c r="CV161" s="226"/>
    </row>
    <row r="162" spans="6:100" ht="12.75" hidden="1">
      <c r="F162" s="384" t="e">
        <f>C162*#REF!</f>
        <v>#REF!</v>
      </c>
      <c r="I162" s="234" t="str">
        <f>IF((K109+1)-K162&lt;(K109+1),(K109+1)-K162," ")</f>
        <v> </v>
      </c>
      <c r="J162" s="235"/>
      <c r="K162" s="235">
        <f t="shared" si="19"/>
        <v>0</v>
      </c>
      <c r="L162" s="235"/>
      <c r="M162" s="235"/>
      <c r="N162" s="235"/>
      <c r="O162" s="305" t="e">
        <f>#REF!*N109</f>
        <v>#REF!</v>
      </c>
      <c r="P162" s="305"/>
      <c r="Q162" s="305" t="e">
        <f>IF(O162&gt;0,G109-O162,0)</f>
        <v>#REF!</v>
      </c>
      <c r="R162" s="226"/>
      <c r="U162" s="234" t="str">
        <f>IF((W110+1)-W162&lt;(W110+1),(W110+1)-W162," ")</f>
        <v> </v>
      </c>
      <c r="V162" s="235"/>
      <c r="W162" s="235">
        <f t="shared" si="23"/>
        <v>0</v>
      </c>
      <c r="X162" s="235"/>
      <c r="Y162" s="235" t="e">
        <f>W162/((W110+1)*(W110/2))</f>
        <v>#DIV/0!</v>
      </c>
      <c r="Z162" s="235"/>
      <c r="AA162" s="235"/>
      <c r="AB162" s="305" t="e">
        <f>Y162*AA110</f>
        <v>#DIV/0!</v>
      </c>
      <c r="AC162" s="305"/>
      <c r="AD162" s="305" t="e">
        <f>IF(AB162&gt;0,S110-AB162,0)</f>
        <v>#DIV/0!</v>
      </c>
      <c r="AE162" s="226"/>
      <c r="AO162" s="234" t="str">
        <f>IF((AQ110+1)-AQ162&lt;(AQ110+1),(AQ110+1)-AQ162," ")</f>
        <v> </v>
      </c>
      <c r="AP162" s="235"/>
      <c r="AQ162" s="235">
        <f t="shared" si="24"/>
        <v>0</v>
      </c>
      <c r="AR162" s="235"/>
      <c r="AS162" s="235">
        <f>AQ162/((AQ110+1)*(AQ110/2))</f>
        <v>0</v>
      </c>
      <c r="AT162" s="235"/>
      <c r="AU162" s="235"/>
      <c r="AV162" s="305">
        <f>AS162*AU110</f>
        <v>0</v>
      </c>
      <c r="AW162" s="305"/>
      <c r="AX162" s="305">
        <f>IF(AV162&gt;0,AM110-AV162,0)</f>
        <v>0</v>
      </c>
      <c r="AY162" s="226"/>
      <c r="BJ162" s="234" t="str">
        <f>IF((BL109+1)-BL162&lt;(BL109+1),(BL109+1)-BL162," ")</f>
        <v> </v>
      </c>
      <c r="BK162" s="235"/>
      <c r="BL162" s="235">
        <f t="shared" si="20"/>
        <v>0</v>
      </c>
      <c r="BM162" s="235"/>
      <c r="BN162" s="235">
        <f>BL162/((BL109+1)*(BL109/2))</f>
        <v>0</v>
      </c>
      <c r="BO162" s="235"/>
      <c r="BP162" s="235"/>
      <c r="BQ162" s="305">
        <f>BN162*BP109</f>
        <v>0</v>
      </c>
      <c r="BR162" s="305"/>
      <c r="BS162" s="305">
        <f>IF(BQ162&gt;0,BH109-BQ162,0)</f>
        <v>0</v>
      </c>
      <c r="BT162" s="226"/>
      <c r="BX162" s="234" t="e">
        <f>IF((BZ109+1)-BZ162&lt;(BZ109+1),(BZ109+1)-BZ162," ")</f>
        <v>#REF!</v>
      </c>
      <c r="BY162" s="235"/>
      <c r="BZ162" s="235" t="e">
        <f t="shared" si="21"/>
        <v>#REF!</v>
      </c>
      <c r="CA162" s="235"/>
      <c r="CB162" s="235" t="e">
        <f>BZ162/((BZ109+1)*(BZ109/2))</f>
        <v>#REF!</v>
      </c>
      <c r="CC162" s="235"/>
      <c r="CD162" s="235"/>
      <c r="CE162" s="305" t="e">
        <f>CB162*CD109</f>
        <v>#REF!</v>
      </c>
      <c r="CF162" s="305"/>
      <c r="CG162" s="305" t="e">
        <f>IF(CE162&gt;0,BV109-CE162,0)</f>
        <v>#REF!</v>
      </c>
      <c r="CH162" s="226"/>
      <c r="CL162" s="234" t="e">
        <f>IF((CN109+1)-CN162&lt;(CN109+1),(CN109+1)-CN162," ")</f>
        <v>#REF!</v>
      </c>
      <c r="CM162" s="235"/>
      <c r="CN162" s="235" t="e">
        <f t="shared" si="22"/>
        <v>#REF!</v>
      </c>
      <c r="CO162" s="235"/>
      <c r="CP162" s="235" t="e">
        <f>CN162/((CN109+1)*(CN109/2))</f>
        <v>#REF!</v>
      </c>
      <c r="CQ162" s="235"/>
      <c r="CR162" s="235"/>
      <c r="CS162" s="305" t="e">
        <f>CP162*CR109</f>
        <v>#REF!</v>
      </c>
      <c r="CT162" s="305"/>
      <c r="CU162" s="305" t="e">
        <f>IF(CS162&gt;0,CJ109-CS162,0)</f>
        <v>#REF!</v>
      </c>
      <c r="CV162" s="226"/>
    </row>
    <row r="163" spans="6:100" ht="12.75" hidden="1">
      <c r="F163" s="384" t="e">
        <f>C163*#REF!</f>
        <v>#REF!</v>
      </c>
      <c r="I163" s="234" t="str">
        <f>IF((K109+1)-K163&lt;(K109+1),(K109+1)-K163," ")</f>
        <v> </v>
      </c>
      <c r="J163" s="235"/>
      <c r="K163" s="235">
        <f t="shared" si="19"/>
        <v>0</v>
      </c>
      <c r="L163" s="235"/>
      <c r="M163" s="235"/>
      <c r="N163" s="235"/>
      <c r="O163" s="305" t="e">
        <f>#REF!*N109</f>
        <v>#REF!</v>
      </c>
      <c r="P163" s="305"/>
      <c r="Q163" s="305" t="e">
        <f>IF(O163&gt;0,G109-O163,0)</f>
        <v>#REF!</v>
      </c>
      <c r="R163" s="226"/>
      <c r="U163" s="234" t="str">
        <f>IF((W110+1)-W163&lt;(W110+1),(W110+1)-W163," ")</f>
        <v> </v>
      </c>
      <c r="V163" s="235"/>
      <c r="W163" s="235">
        <f t="shared" si="23"/>
        <v>0</v>
      </c>
      <c r="X163" s="235"/>
      <c r="Y163" s="235" t="e">
        <f>W163/((W110+1)*(W110/2))</f>
        <v>#DIV/0!</v>
      </c>
      <c r="Z163" s="235"/>
      <c r="AA163" s="235"/>
      <c r="AB163" s="305" t="e">
        <f>Y163*AA110</f>
        <v>#DIV/0!</v>
      </c>
      <c r="AC163" s="305"/>
      <c r="AD163" s="305" t="e">
        <f>IF(AB163&gt;0,S110-AB163,0)</f>
        <v>#DIV/0!</v>
      </c>
      <c r="AE163" s="226"/>
      <c r="AO163" s="234" t="str">
        <f>IF((AQ110+1)-AQ163&lt;(AQ110+1),(AQ110+1)-AQ163," ")</f>
        <v> </v>
      </c>
      <c r="AP163" s="235"/>
      <c r="AQ163" s="235">
        <f t="shared" si="24"/>
        <v>0</v>
      </c>
      <c r="AR163" s="235"/>
      <c r="AS163" s="235">
        <f>AQ163/((AQ110+1)*(AQ110/2))</f>
        <v>0</v>
      </c>
      <c r="AT163" s="235"/>
      <c r="AU163" s="235"/>
      <c r="AV163" s="305">
        <f>AS163*AU110</f>
        <v>0</v>
      </c>
      <c r="AW163" s="305"/>
      <c r="AX163" s="305">
        <f>IF(AV163&gt;0,AM110-AV163,0)</f>
        <v>0</v>
      </c>
      <c r="AY163" s="226"/>
      <c r="BJ163" s="234" t="str">
        <f>IF((BL109+1)-BL163&lt;(BL109+1),(BL109+1)-BL163," ")</f>
        <v> </v>
      </c>
      <c r="BK163" s="235"/>
      <c r="BL163" s="235">
        <f t="shared" si="20"/>
        <v>0</v>
      </c>
      <c r="BM163" s="235"/>
      <c r="BN163" s="235">
        <f>BL163/((BL109+1)*(BL109/2))</f>
        <v>0</v>
      </c>
      <c r="BO163" s="235"/>
      <c r="BP163" s="235"/>
      <c r="BQ163" s="305">
        <f>BN163*BP109</f>
        <v>0</v>
      </c>
      <c r="BR163" s="305"/>
      <c r="BS163" s="305">
        <f>IF(BQ163&gt;0,BH109-BQ163,0)</f>
        <v>0</v>
      </c>
      <c r="BT163" s="226"/>
      <c r="BX163" s="234" t="e">
        <f>IF((BZ109+1)-BZ163&lt;(BZ109+1),(BZ109+1)-BZ163," ")</f>
        <v>#REF!</v>
      </c>
      <c r="BY163" s="235"/>
      <c r="BZ163" s="235" t="e">
        <f t="shared" si="21"/>
        <v>#REF!</v>
      </c>
      <c r="CA163" s="235"/>
      <c r="CB163" s="235" t="e">
        <f>BZ163/((BZ109+1)*(BZ109/2))</f>
        <v>#REF!</v>
      </c>
      <c r="CC163" s="235"/>
      <c r="CD163" s="235"/>
      <c r="CE163" s="305" t="e">
        <f>CB163*CD109</f>
        <v>#REF!</v>
      </c>
      <c r="CF163" s="305"/>
      <c r="CG163" s="305" t="e">
        <f>IF(CE163&gt;0,BV109-CE163,0)</f>
        <v>#REF!</v>
      </c>
      <c r="CH163" s="226"/>
      <c r="CL163" s="234" t="e">
        <f>IF((CN109+1)-CN163&lt;(CN109+1),(CN109+1)-CN163," ")</f>
        <v>#REF!</v>
      </c>
      <c r="CM163" s="235"/>
      <c r="CN163" s="235" t="e">
        <f t="shared" si="22"/>
        <v>#REF!</v>
      </c>
      <c r="CO163" s="235"/>
      <c r="CP163" s="235" t="e">
        <f>CN163/((CN109+1)*(CN109/2))</f>
        <v>#REF!</v>
      </c>
      <c r="CQ163" s="235"/>
      <c r="CR163" s="235"/>
      <c r="CS163" s="305" t="e">
        <f>CP163*CR109</f>
        <v>#REF!</v>
      </c>
      <c r="CT163" s="305"/>
      <c r="CU163" s="305" t="e">
        <f>IF(CS163&gt;0,CJ109-CS163,0)</f>
        <v>#REF!</v>
      </c>
      <c r="CV163" s="226"/>
    </row>
    <row r="164" spans="6:100" ht="12.75" hidden="1">
      <c r="F164" s="384" t="e">
        <f>C164*#REF!</f>
        <v>#REF!</v>
      </c>
      <c r="I164" s="234" t="str">
        <f>IF((K109+1)-K164&lt;(K109+1),(K109+1)-K164," ")</f>
        <v> </v>
      </c>
      <c r="J164" s="235"/>
      <c r="K164" s="235">
        <f t="shared" si="19"/>
        <v>0</v>
      </c>
      <c r="L164" s="235"/>
      <c r="M164" s="235"/>
      <c r="N164" s="235"/>
      <c r="O164" s="305" t="e">
        <f>#REF!*N109</f>
        <v>#REF!</v>
      </c>
      <c r="P164" s="305"/>
      <c r="Q164" s="305" t="e">
        <f>IF(O164&gt;0,G109-O164,0)</f>
        <v>#REF!</v>
      </c>
      <c r="R164" s="226"/>
      <c r="U164" s="234" t="str">
        <f>IF((W110+1)-W164&lt;(W110+1),(W110+1)-W164," ")</f>
        <v> </v>
      </c>
      <c r="V164" s="235"/>
      <c r="W164" s="235">
        <f t="shared" si="23"/>
        <v>0</v>
      </c>
      <c r="X164" s="235"/>
      <c r="Y164" s="235" t="e">
        <f>W164/((W110+1)*(W110/2))</f>
        <v>#DIV/0!</v>
      </c>
      <c r="Z164" s="235"/>
      <c r="AA164" s="235"/>
      <c r="AB164" s="305" t="e">
        <f>Y164*AA110</f>
        <v>#DIV/0!</v>
      </c>
      <c r="AC164" s="305"/>
      <c r="AD164" s="305" t="e">
        <f>IF(AB164&gt;0,S110-AB164,0)</f>
        <v>#DIV/0!</v>
      </c>
      <c r="AE164" s="226"/>
      <c r="AO164" s="234" t="str">
        <f>IF((AQ110+1)-AQ164&lt;(AQ110+1),(AQ110+1)-AQ164," ")</f>
        <v> </v>
      </c>
      <c r="AP164" s="235"/>
      <c r="AQ164" s="235">
        <f t="shared" si="24"/>
        <v>0</v>
      </c>
      <c r="AR164" s="235"/>
      <c r="AS164" s="235">
        <f>AQ164/((AQ110+1)*(AQ110/2))</f>
        <v>0</v>
      </c>
      <c r="AT164" s="235"/>
      <c r="AU164" s="235"/>
      <c r="AV164" s="305">
        <f>AS164*AU110</f>
        <v>0</v>
      </c>
      <c r="AW164" s="305"/>
      <c r="AX164" s="305">
        <f>IF(AV164&gt;0,AM110-AV164,0)</f>
        <v>0</v>
      </c>
      <c r="AY164" s="226"/>
      <c r="BJ164" s="234" t="str">
        <f>IF((BL109+1)-BL164&lt;(BL109+1),(BL109+1)-BL164," ")</f>
        <v> </v>
      </c>
      <c r="BK164" s="235"/>
      <c r="BL164" s="235">
        <f t="shared" si="20"/>
        <v>0</v>
      </c>
      <c r="BM164" s="235"/>
      <c r="BN164" s="235">
        <f>BL164/((BL109+1)*(BL109/2))</f>
        <v>0</v>
      </c>
      <c r="BO164" s="235"/>
      <c r="BP164" s="235"/>
      <c r="BQ164" s="305">
        <f>BN164*BP109</f>
        <v>0</v>
      </c>
      <c r="BR164" s="305"/>
      <c r="BS164" s="305">
        <f>IF(BQ164&gt;0,BH109-BQ164,0)</f>
        <v>0</v>
      </c>
      <c r="BT164" s="226"/>
      <c r="BX164" s="234" t="e">
        <f>IF((BZ109+1)-BZ164&lt;(BZ109+1),(BZ109+1)-BZ164," ")</f>
        <v>#REF!</v>
      </c>
      <c r="BY164" s="235"/>
      <c r="BZ164" s="235" t="e">
        <f t="shared" si="21"/>
        <v>#REF!</v>
      </c>
      <c r="CA164" s="235"/>
      <c r="CB164" s="235" t="e">
        <f>BZ164/((BZ109+1)*(BZ109/2))</f>
        <v>#REF!</v>
      </c>
      <c r="CC164" s="235"/>
      <c r="CD164" s="235"/>
      <c r="CE164" s="305" t="e">
        <f>CB164*CD109</f>
        <v>#REF!</v>
      </c>
      <c r="CF164" s="305"/>
      <c r="CG164" s="305" t="e">
        <f>IF(CE164&gt;0,BV109-CE164,0)</f>
        <v>#REF!</v>
      </c>
      <c r="CH164" s="226"/>
      <c r="CL164" s="234" t="e">
        <f>IF((CN109+1)-CN164&lt;(CN109+1),(CN109+1)-CN164," ")</f>
        <v>#REF!</v>
      </c>
      <c r="CM164" s="235"/>
      <c r="CN164" s="235" t="e">
        <f t="shared" si="22"/>
        <v>#REF!</v>
      </c>
      <c r="CO164" s="235"/>
      <c r="CP164" s="235" t="e">
        <f>CN164/((CN109+1)*(CN109/2))</f>
        <v>#REF!</v>
      </c>
      <c r="CQ164" s="235"/>
      <c r="CR164" s="235"/>
      <c r="CS164" s="305" t="e">
        <f>CP164*CR109</f>
        <v>#REF!</v>
      </c>
      <c r="CT164" s="305"/>
      <c r="CU164" s="305" t="e">
        <f>IF(CS164&gt;0,CJ109-CS164,0)</f>
        <v>#REF!</v>
      </c>
      <c r="CV164" s="226"/>
    </row>
    <row r="165" spans="6:100" ht="12.75" hidden="1">
      <c r="F165" s="384" t="e">
        <f>C165*#REF!</f>
        <v>#REF!</v>
      </c>
      <c r="I165" s="234" t="str">
        <f>IF((K109+1)-K165&lt;(K109+1),(K109+1)-K165," ")</f>
        <v> </v>
      </c>
      <c r="J165" s="235"/>
      <c r="K165" s="235">
        <f t="shared" si="19"/>
        <v>0</v>
      </c>
      <c r="L165" s="235"/>
      <c r="M165" s="235"/>
      <c r="N165" s="235"/>
      <c r="O165" s="305" t="e">
        <f>#REF!*N109</f>
        <v>#REF!</v>
      </c>
      <c r="P165" s="305"/>
      <c r="Q165" s="305" t="e">
        <f>IF(O165&gt;0,G109-O165,0)</f>
        <v>#REF!</v>
      </c>
      <c r="R165" s="226"/>
      <c r="U165" s="234" t="str">
        <f>IF((W110+1)-W165&lt;(W110+1),(W110+1)-W165," ")</f>
        <v> </v>
      </c>
      <c r="V165" s="235"/>
      <c r="W165" s="235">
        <f t="shared" si="23"/>
        <v>0</v>
      </c>
      <c r="X165" s="235"/>
      <c r="Y165" s="235" t="e">
        <f>W165/((W110+1)*(W110/2))</f>
        <v>#DIV/0!</v>
      </c>
      <c r="Z165" s="235"/>
      <c r="AA165" s="235"/>
      <c r="AB165" s="305" t="e">
        <f>Y165*AA110</f>
        <v>#DIV/0!</v>
      </c>
      <c r="AC165" s="305"/>
      <c r="AD165" s="305" t="e">
        <f>IF(AB165&gt;0,S110-AB165,0)</f>
        <v>#DIV/0!</v>
      </c>
      <c r="AE165" s="226"/>
      <c r="AO165" s="234" t="str">
        <f>IF((AQ110+1)-AQ165&lt;(AQ110+1),(AQ110+1)-AQ165," ")</f>
        <v> </v>
      </c>
      <c r="AP165" s="235"/>
      <c r="AQ165" s="235">
        <f t="shared" si="24"/>
        <v>0</v>
      </c>
      <c r="AR165" s="235"/>
      <c r="AS165" s="235">
        <f>AQ165/((AQ110+1)*(AQ110/2))</f>
        <v>0</v>
      </c>
      <c r="AT165" s="235"/>
      <c r="AU165" s="235"/>
      <c r="AV165" s="305">
        <f>AS165*AU110</f>
        <v>0</v>
      </c>
      <c r="AW165" s="305"/>
      <c r="AX165" s="305">
        <f>IF(AV165&gt;0,AM110-AV165,0)</f>
        <v>0</v>
      </c>
      <c r="AY165" s="226"/>
      <c r="BJ165" s="234" t="str">
        <f>IF((BL109+1)-BL165&lt;(BL109+1),(BL109+1)-BL165," ")</f>
        <v> </v>
      </c>
      <c r="BK165" s="235"/>
      <c r="BL165" s="235">
        <f t="shared" si="20"/>
        <v>0</v>
      </c>
      <c r="BM165" s="235"/>
      <c r="BN165" s="235">
        <f>BL165/((BL109+1)*(BL109/2))</f>
        <v>0</v>
      </c>
      <c r="BO165" s="235"/>
      <c r="BP165" s="235"/>
      <c r="BQ165" s="305">
        <f>BN165*BP109</f>
        <v>0</v>
      </c>
      <c r="BR165" s="305"/>
      <c r="BS165" s="305">
        <f>IF(BQ165&gt;0,BH109-BQ165,0)</f>
        <v>0</v>
      </c>
      <c r="BT165" s="226"/>
      <c r="BX165" s="234" t="e">
        <f>IF((BZ109+1)-BZ165&lt;(BZ109+1),(BZ109+1)-BZ165," ")</f>
        <v>#REF!</v>
      </c>
      <c r="BY165" s="235"/>
      <c r="BZ165" s="235" t="e">
        <f t="shared" si="21"/>
        <v>#REF!</v>
      </c>
      <c r="CA165" s="235"/>
      <c r="CB165" s="235" t="e">
        <f>BZ165/((BZ109+1)*(BZ109/2))</f>
        <v>#REF!</v>
      </c>
      <c r="CC165" s="235"/>
      <c r="CD165" s="235"/>
      <c r="CE165" s="305" t="e">
        <f>CB165*CD109</f>
        <v>#REF!</v>
      </c>
      <c r="CF165" s="305"/>
      <c r="CG165" s="305" t="e">
        <f>IF(CE165&gt;0,BV109-CE165,0)</f>
        <v>#REF!</v>
      </c>
      <c r="CH165" s="226"/>
      <c r="CL165" s="234" t="e">
        <f>IF((CN109+1)-CN165&lt;(CN109+1),(CN109+1)-CN165," ")</f>
        <v>#REF!</v>
      </c>
      <c r="CM165" s="235"/>
      <c r="CN165" s="235" t="e">
        <f t="shared" si="22"/>
        <v>#REF!</v>
      </c>
      <c r="CO165" s="235"/>
      <c r="CP165" s="235" t="e">
        <f>CN165/((CN109+1)*(CN109/2))</f>
        <v>#REF!</v>
      </c>
      <c r="CQ165" s="235"/>
      <c r="CR165" s="235"/>
      <c r="CS165" s="305" t="e">
        <f>CP165*CR109</f>
        <v>#REF!</v>
      </c>
      <c r="CT165" s="305"/>
      <c r="CU165" s="305" t="e">
        <f>IF(CS165&gt;0,CJ109-CS165,0)</f>
        <v>#REF!</v>
      </c>
      <c r="CV165" s="226"/>
    </row>
    <row r="166" spans="6:100" ht="12.75" hidden="1">
      <c r="F166" s="384" t="e">
        <f>C166*#REF!</f>
        <v>#REF!</v>
      </c>
      <c r="I166" s="234" t="str">
        <f>IF((K109+1)-K166&lt;(K109+1),(K109+1)-K166," ")</f>
        <v> </v>
      </c>
      <c r="J166" s="235"/>
      <c r="K166" s="235">
        <f t="shared" si="19"/>
        <v>0</v>
      </c>
      <c r="L166" s="235"/>
      <c r="M166" s="235"/>
      <c r="N166" s="235"/>
      <c r="O166" s="305" t="e">
        <f>#REF!*N109</f>
        <v>#REF!</v>
      </c>
      <c r="P166" s="305"/>
      <c r="Q166" s="305" t="e">
        <f>IF(O166&gt;0,G109-O166,0)</f>
        <v>#REF!</v>
      </c>
      <c r="R166" s="226"/>
      <c r="U166" s="234" t="str">
        <f>IF((W110+1)-W166&lt;(W110+1),(W110+1)-W166," ")</f>
        <v> </v>
      </c>
      <c r="V166" s="235"/>
      <c r="W166" s="235">
        <f t="shared" si="23"/>
        <v>0</v>
      </c>
      <c r="X166" s="235"/>
      <c r="Y166" s="235" t="e">
        <f>W166/((W110+1)*(W110/2))</f>
        <v>#DIV/0!</v>
      </c>
      <c r="Z166" s="235"/>
      <c r="AA166" s="235"/>
      <c r="AB166" s="305" t="e">
        <f>Y166*AA110</f>
        <v>#DIV/0!</v>
      </c>
      <c r="AC166" s="305"/>
      <c r="AD166" s="305" t="e">
        <f>IF(AB166&gt;0,S110-AB166,0)</f>
        <v>#DIV/0!</v>
      </c>
      <c r="AE166" s="226"/>
      <c r="AO166" s="234" t="str">
        <f>IF((AQ110+1)-AQ166&lt;(AQ110+1),(AQ110+1)-AQ166," ")</f>
        <v> </v>
      </c>
      <c r="AP166" s="235"/>
      <c r="AQ166" s="235">
        <f t="shared" si="24"/>
        <v>0</v>
      </c>
      <c r="AR166" s="235"/>
      <c r="AS166" s="235">
        <f>AQ166/((AQ110+1)*(AQ110/2))</f>
        <v>0</v>
      </c>
      <c r="AT166" s="235"/>
      <c r="AU166" s="235"/>
      <c r="AV166" s="305">
        <f>AS166*AU110</f>
        <v>0</v>
      </c>
      <c r="AW166" s="305"/>
      <c r="AX166" s="305">
        <f>IF(AV166&gt;0,AM110-AV166,0)</f>
        <v>0</v>
      </c>
      <c r="AY166" s="226"/>
      <c r="BJ166" s="234" t="str">
        <f>IF((BL109+1)-BL166&lt;(BL109+1),(BL109+1)-BL166," ")</f>
        <v> </v>
      </c>
      <c r="BK166" s="235"/>
      <c r="BL166" s="235">
        <f t="shared" si="20"/>
        <v>0</v>
      </c>
      <c r="BM166" s="235"/>
      <c r="BN166" s="235">
        <f>BL166/((BL109+1)*(BL109/2))</f>
        <v>0</v>
      </c>
      <c r="BO166" s="235"/>
      <c r="BP166" s="235"/>
      <c r="BQ166" s="305">
        <f>BN166*BP109</f>
        <v>0</v>
      </c>
      <c r="BR166" s="305"/>
      <c r="BS166" s="305">
        <f>IF(BQ166&gt;0,BH109-BQ166,0)</f>
        <v>0</v>
      </c>
      <c r="BT166" s="226"/>
      <c r="BX166" s="234" t="e">
        <f>IF((BZ109+1)-BZ166&lt;(BZ109+1),(BZ109+1)-BZ166," ")</f>
        <v>#REF!</v>
      </c>
      <c r="BY166" s="235"/>
      <c r="BZ166" s="235" t="e">
        <f t="shared" si="21"/>
        <v>#REF!</v>
      </c>
      <c r="CA166" s="235"/>
      <c r="CB166" s="235" t="e">
        <f>BZ166/((BZ109+1)*(BZ109/2))</f>
        <v>#REF!</v>
      </c>
      <c r="CC166" s="235"/>
      <c r="CD166" s="235"/>
      <c r="CE166" s="305" t="e">
        <f>CB166*CD109</f>
        <v>#REF!</v>
      </c>
      <c r="CF166" s="305"/>
      <c r="CG166" s="305" t="e">
        <f>IF(CE166&gt;0,BV109-CE166,0)</f>
        <v>#REF!</v>
      </c>
      <c r="CH166" s="226"/>
      <c r="CL166" s="234" t="e">
        <f>IF((CN109+1)-CN166&lt;(CN109+1),(CN109+1)-CN166," ")</f>
        <v>#REF!</v>
      </c>
      <c r="CM166" s="235"/>
      <c r="CN166" s="235" t="e">
        <f t="shared" si="22"/>
        <v>#REF!</v>
      </c>
      <c r="CO166" s="235"/>
      <c r="CP166" s="235" t="e">
        <f>CN166/((CN109+1)*(CN109/2))</f>
        <v>#REF!</v>
      </c>
      <c r="CQ166" s="235"/>
      <c r="CR166" s="235"/>
      <c r="CS166" s="305" t="e">
        <f>CP166*CR109</f>
        <v>#REF!</v>
      </c>
      <c r="CT166" s="305"/>
      <c r="CU166" s="305" t="e">
        <f>IF(CS166&gt;0,CJ109-CS166,0)</f>
        <v>#REF!</v>
      </c>
      <c r="CV166" s="226"/>
    </row>
    <row r="167" spans="6:100" ht="12.75" hidden="1">
      <c r="F167" s="384" t="e">
        <f>C167*#REF!</f>
        <v>#REF!</v>
      </c>
      <c r="I167" s="234" t="str">
        <f>IF((K109+1)-K167&lt;(K109+1),(K109+1)-K167," ")</f>
        <v> </v>
      </c>
      <c r="J167" s="235"/>
      <c r="K167" s="235">
        <f t="shared" si="19"/>
        <v>0</v>
      </c>
      <c r="L167" s="235"/>
      <c r="M167" s="235"/>
      <c r="N167" s="235"/>
      <c r="O167" s="305" t="e">
        <f>#REF!*N109</f>
        <v>#REF!</v>
      </c>
      <c r="P167" s="305"/>
      <c r="Q167" s="305" t="e">
        <f>IF(O167&gt;0,G109-O167,0)</f>
        <v>#REF!</v>
      </c>
      <c r="R167" s="226"/>
      <c r="U167" s="234" t="str">
        <f>IF((W110+1)-W167&lt;(W110+1),(W110+1)-W167," ")</f>
        <v> </v>
      </c>
      <c r="V167" s="235"/>
      <c r="W167" s="235">
        <f t="shared" si="23"/>
        <v>0</v>
      </c>
      <c r="X167" s="235"/>
      <c r="Y167" s="235" t="e">
        <f>W167/((W110+1)*(W110/2))</f>
        <v>#DIV/0!</v>
      </c>
      <c r="Z167" s="235"/>
      <c r="AA167" s="235"/>
      <c r="AB167" s="305" t="e">
        <f>Y167*AA110</f>
        <v>#DIV/0!</v>
      </c>
      <c r="AC167" s="305"/>
      <c r="AD167" s="305" t="e">
        <f>IF(AB167&gt;0,S110-AB167,0)</f>
        <v>#DIV/0!</v>
      </c>
      <c r="AE167" s="226"/>
      <c r="AO167" s="234" t="str">
        <f>IF((AQ110+1)-AQ167&lt;(AQ110+1),(AQ110+1)-AQ167," ")</f>
        <v> </v>
      </c>
      <c r="AP167" s="235"/>
      <c r="AQ167" s="235">
        <f t="shared" si="24"/>
        <v>0</v>
      </c>
      <c r="AR167" s="235"/>
      <c r="AS167" s="235">
        <f>AQ167/((AQ110+1)*(AQ110/2))</f>
        <v>0</v>
      </c>
      <c r="AT167" s="235"/>
      <c r="AU167" s="235"/>
      <c r="AV167" s="305">
        <f>AS167*AU110</f>
        <v>0</v>
      </c>
      <c r="AW167" s="305"/>
      <c r="AX167" s="305">
        <f>IF(AV167&gt;0,AM110-AV167,0)</f>
        <v>0</v>
      </c>
      <c r="AY167" s="226"/>
      <c r="BJ167" s="234" t="str">
        <f>IF((BL109+1)-BL167&lt;(BL109+1),(BL109+1)-BL167," ")</f>
        <v> </v>
      </c>
      <c r="BK167" s="235"/>
      <c r="BL167" s="235">
        <f t="shared" si="20"/>
        <v>0</v>
      </c>
      <c r="BM167" s="235"/>
      <c r="BN167" s="235">
        <f>BL167/((BL109+1)*(BL109/2))</f>
        <v>0</v>
      </c>
      <c r="BO167" s="235"/>
      <c r="BP167" s="235"/>
      <c r="BQ167" s="305">
        <f>BN167*BP109</f>
        <v>0</v>
      </c>
      <c r="BR167" s="305"/>
      <c r="BS167" s="305">
        <f>IF(BQ167&gt;0,BH109-BQ167,0)</f>
        <v>0</v>
      </c>
      <c r="BT167" s="226"/>
      <c r="BX167" s="234" t="e">
        <f>IF((BZ109+1)-BZ167&lt;(BZ109+1),(BZ109+1)-BZ167," ")</f>
        <v>#REF!</v>
      </c>
      <c r="BY167" s="235"/>
      <c r="BZ167" s="235" t="e">
        <f t="shared" si="21"/>
        <v>#REF!</v>
      </c>
      <c r="CA167" s="235"/>
      <c r="CB167" s="235" t="e">
        <f>BZ167/((BZ109+1)*(BZ109/2))</f>
        <v>#REF!</v>
      </c>
      <c r="CC167" s="235"/>
      <c r="CD167" s="235"/>
      <c r="CE167" s="305" t="e">
        <f>CB167*CD109</f>
        <v>#REF!</v>
      </c>
      <c r="CF167" s="305"/>
      <c r="CG167" s="305" t="e">
        <f>IF(CE167&gt;0,BV109-CE167,0)</f>
        <v>#REF!</v>
      </c>
      <c r="CH167" s="226"/>
      <c r="CL167" s="234" t="e">
        <f>IF((CN109+1)-CN167&lt;(CN109+1),(CN109+1)-CN167," ")</f>
        <v>#REF!</v>
      </c>
      <c r="CM167" s="235"/>
      <c r="CN167" s="235" t="e">
        <f t="shared" si="22"/>
        <v>#REF!</v>
      </c>
      <c r="CO167" s="235"/>
      <c r="CP167" s="235" t="e">
        <f>CN167/((CN109+1)*(CN109/2))</f>
        <v>#REF!</v>
      </c>
      <c r="CQ167" s="235"/>
      <c r="CR167" s="235"/>
      <c r="CS167" s="305" t="e">
        <f>CP167*CR109</f>
        <v>#REF!</v>
      </c>
      <c r="CT167" s="305"/>
      <c r="CU167" s="305" t="e">
        <f>IF(CS167&gt;0,CJ109-CS167,0)</f>
        <v>#REF!</v>
      </c>
      <c r="CV167" s="226"/>
    </row>
    <row r="168" spans="6:100" ht="12.75" hidden="1">
      <c r="F168" s="384" t="e">
        <f>C168*#REF!</f>
        <v>#REF!</v>
      </c>
      <c r="I168" s="234" t="str">
        <f>IF((K109+1)-K168&lt;(K109+1),(K109+1)-K168," ")</f>
        <v> </v>
      </c>
      <c r="J168" s="235"/>
      <c r="K168" s="235">
        <f t="shared" si="19"/>
        <v>0</v>
      </c>
      <c r="L168" s="235"/>
      <c r="M168" s="235"/>
      <c r="N168" s="235"/>
      <c r="O168" s="305" t="e">
        <f>#REF!*N109</f>
        <v>#REF!</v>
      </c>
      <c r="P168" s="305"/>
      <c r="Q168" s="305" t="e">
        <f>IF(O168&gt;0,G109-O168,0)</f>
        <v>#REF!</v>
      </c>
      <c r="R168" s="226"/>
      <c r="U168" s="234" t="str">
        <f>IF((W110+1)-W168&lt;(W110+1),(W110+1)-W168," ")</f>
        <v> </v>
      </c>
      <c r="V168" s="235"/>
      <c r="W168" s="235">
        <f t="shared" si="23"/>
        <v>0</v>
      </c>
      <c r="X168" s="235"/>
      <c r="Y168" s="235" t="e">
        <f>W168/((W110+1)*(W110/2))</f>
        <v>#DIV/0!</v>
      </c>
      <c r="Z168" s="235"/>
      <c r="AA168" s="235"/>
      <c r="AB168" s="305" t="e">
        <f>Y168*AA110</f>
        <v>#DIV/0!</v>
      </c>
      <c r="AC168" s="305"/>
      <c r="AD168" s="305" t="e">
        <f>IF(AB168&gt;0,S110-AB168,0)</f>
        <v>#DIV/0!</v>
      </c>
      <c r="AE168" s="226"/>
      <c r="AO168" s="234" t="str">
        <f>IF((AQ110+1)-AQ168&lt;(AQ110+1),(AQ110+1)-AQ168," ")</f>
        <v> </v>
      </c>
      <c r="AP168" s="235"/>
      <c r="AQ168" s="235">
        <f t="shared" si="24"/>
        <v>0</v>
      </c>
      <c r="AR168" s="235"/>
      <c r="AS168" s="235">
        <f>AQ168/((AQ110+1)*(AQ110/2))</f>
        <v>0</v>
      </c>
      <c r="AT168" s="235"/>
      <c r="AU168" s="235"/>
      <c r="AV168" s="305">
        <f>AS168*AU110</f>
        <v>0</v>
      </c>
      <c r="AW168" s="305"/>
      <c r="AX168" s="305">
        <f>IF(AV168&gt;0,AM110-AV168,0)</f>
        <v>0</v>
      </c>
      <c r="AY168" s="226"/>
      <c r="BJ168" s="234" t="str">
        <f>IF((BL109+1)-BL168&lt;(BL109+1),(BL109+1)-BL168," ")</f>
        <v> </v>
      </c>
      <c r="BK168" s="235"/>
      <c r="BL168" s="235">
        <f t="shared" si="20"/>
        <v>0</v>
      </c>
      <c r="BM168" s="235"/>
      <c r="BN168" s="235">
        <f>BL168/((BL109+1)*(BL109/2))</f>
        <v>0</v>
      </c>
      <c r="BO168" s="235"/>
      <c r="BP168" s="235"/>
      <c r="BQ168" s="305">
        <f>BN168*BP109</f>
        <v>0</v>
      </c>
      <c r="BR168" s="305"/>
      <c r="BS168" s="305">
        <f>IF(BQ168&gt;0,BH109-BQ168,0)</f>
        <v>0</v>
      </c>
      <c r="BT168" s="226"/>
      <c r="BX168" s="234" t="e">
        <f>IF((BZ109+1)-BZ168&lt;(BZ109+1),(BZ109+1)-BZ168," ")</f>
        <v>#REF!</v>
      </c>
      <c r="BY168" s="235"/>
      <c r="BZ168" s="235" t="e">
        <f t="shared" si="21"/>
        <v>#REF!</v>
      </c>
      <c r="CA168" s="235"/>
      <c r="CB168" s="235" t="e">
        <f>BZ168/((BZ109+1)*(BZ109/2))</f>
        <v>#REF!</v>
      </c>
      <c r="CC168" s="235"/>
      <c r="CD168" s="235"/>
      <c r="CE168" s="305" t="e">
        <f>CB168*CD109</f>
        <v>#REF!</v>
      </c>
      <c r="CF168" s="305"/>
      <c r="CG168" s="305" t="e">
        <f>IF(CE168&gt;0,BV109-CE168,0)</f>
        <v>#REF!</v>
      </c>
      <c r="CH168" s="226"/>
      <c r="CL168" s="234" t="e">
        <f>IF((CN109+1)-CN168&lt;(CN109+1),(CN109+1)-CN168," ")</f>
        <v>#REF!</v>
      </c>
      <c r="CM168" s="235"/>
      <c r="CN168" s="235" t="e">
        <f t="shared" si="22"/>
        <v>#REF!</v>
      </c>
      <c r="CO168" s="235"/>
      <c r="CP168" s="235" t="e">
        <f>CN168/((CN109+1)*(CN109/2))</f>
        <v>#REF!</v>
      </c>
      <c r="CQ168" s="235"/>
      <c r="CR168" s="235"/>
      <c r="CS168" s="305" t="e">
        <f>CP168*CR109</f>
        <v>#REF!</v>
      </c>
      <c r="CT168" s="305"/>
      <c r="CU168" s="305" t="e">
        <f>IF(CS168&gt;0,CJ109-CS168,0)</f>
        <v>#REF!</v>
      </c>
      <c r="CV168" s="226"/>
    </row>
    <row r="169" spans="6:100" ht="13.5" hidden="1" thickBot="1">
      <c r="F169" s="384" t="e">
        <f>C169*#REF!</f>
        <v>#REF!</v>
      </c>
      <c r="I169" s="311" t="str">
        <f>IF((K109+1)-K169&lt;(K109+1),(K109+1)-K169," ")</f>
        <v> </v>
      </c>
      <c r="J169" s="312"/>
      <c r="K169" s="312">
        <f t="shared" si="19"/>
        <v>0</v>
      </c>
      <c r="L169" s="312"/>
      <c r="M169" s="312"/>
      <c r="N169" s="312"/>
      <c r="O169" s="313" t="e">
        <f>#REF!*N109</f>
        <v>#REF!</v>
      </c>
      <c r="P169" s="313"/>
      <c r="Q169" s="313" t="e">
        <f>IF(O169&gt;0,G109-O169,0)</f>
        <v>#REF!</v>
      </c>
      <c r="R169" s="221"/>
      <c r="U169" s="234" t="str">
        <f>IF((W110+1)-W169&lt;(W110+1),(W110+1)-W169," ")</f>
        <v> </v>
      </c>
      <c r="V169" s="235"/>
      <c r="W169" s="235">
        <f t="shared" si="23"/>
        <v>0</v>
      </c>
      <c r="X169" s="235"/>
      <c r="Y169" s="235" t="e">
        <f>W169/((W110+1)*(W110/2))</f>
        <v>#DIV/0!</v>
      </c>
      <c r="Z169" s="235"/>
      <c r="AA169" s="235"/>
      <c r="AB169" s="305" t="e">
        <f>Y169*AA110</f>
        <v>#DIV/0!</v>
      </c>
      <c r="AC169" s="305"/>
      <c r="AD169" s="305" t="e">
        <f>IF(AB169&gt;0,S110-AB169,0)</f>
        <v>#DIV/0!</v>
      </c>
      <c r="AE169" s="226"/>
      <c r="AO169" s="234" t="str">
        <f>IF((AQ110+1)-AQ169&lt;(AQ110+1),(AQ110+1)-AQ169," ")</f>
        <v> </v>
      </c>
      <c r="AP169" s="235"/>
      <c r="AQ169" s="235">
        <f t="shared" si="24"/>
        <v>0</v>
      </c>
      <c r="AR169" s="235"/>
      <c r="AS169" s="235">
        <f>AQ169/((AQ110+1)*(AQ110/2))</f>
        <v>0</v>
      </c>
      <c r="AT169" s="235"/>
      <c r="AU169" s="235"/>
      <c r="AV169" s="305">
        <f>AS169*AU110</f>
        <v>0</v>
      </c>
      <c r="AW169" s="305"/>
      <c r="AX169" s="305">
        <f>IF(AV169&gt;0,AM110-AV169,0)</f>
        <v>0</v>
      </c>
      <c r="AY169" s="226"/>
      <c r="BJ169" s="311" t="str">
        <f>IF((BL109+1)-BL169&lt;(BL109+1),(BL109+1)-BL169," ")</f>
        <v> </v>
      </c>
      <c r="BK169" s="312"/>
      <c r="BL169" s="312">
        <f t="shared" si="20"/>
        <v>0</v>
      </c>
      <c r="BM169" s="312"/>
      <c r="BN169" s="312">
        <f>BL169/((BL109+1)*(BL109/2))</f>
        <v>0</v>
      </c>
      <c r="BO169" s="312"/>
      <c r="BP169" s="312"/>
      <c r="BQ169" s="313">
        <f>BN169*BP109</f>
        <v>0</v>
      </c>
      <c r="BR169" s="313"/>
      <c r="BS169" s="313">
        <f>IF(BQ169&gt;0,BH109-BQ169,0)</f>
        <v>0</v>
      </c>
      <c r="BT169" s="221"/>
      <c r="BX169" s="311" t="e">
        <f>IF((BZ109+1)-BZ169&lt;(BZ109+1),(BZ109+1)-BZ169," ")</f>
        <v>#REF!</v>
      </c>
      <c r="BY169" s="312"/>
      <c r="BZ169" s="312" t="e">
        <f t="shared" si="21"/>
        <v>#REF!</v>
      </c>
      <c r="CA169" s="312"/>
      <c r="CB169" s="312" t="e">
        <f>BZ169/((BZ109+1)*(BZ109/2))</f>
        <v>#REF!</v>
      </c>
      <c r="CC169" s="312"/>
      <c r="CD169" s="312"/>
      <c r="CE169" s="313" t="e">
        <f>CB169*CD109</f>
        <v>#REF!</v>
      </c>
      <c r="CF169" s="313"/>
      <c r="CG169" s="313" t="e">
        <f>IF(CE169&gt;0,BV109-CE169,0)</f>
        <v>#REF!</v>
      </c>
      <c r="CH169" s="221"/>
      <c r="CL169" s="311" t="e">
        <f>IF((CN109+1)-CN169&lt;(CN109+1),(CN109+1)-CN169," ")</f>
        <v>#REF!</v>
      </c>
      <c r="CM169" s="312"/>
      <c r="CN169" s="312" t="e">
        <f t="shared" si="22"/>
        <v>#REF!</v>
      </c>
      <c r="CO169" s="312"/>
      <c r="CP169" s="312" t="e">
        <f>CN169/((CN109+1)*(CN109/2))</f>
        <v>#REF!</v>
      </c>
      <c r="CQ169" s="312"/>
      <c r="CR169" s="312"/>
      <c r="CS169" s="313" t="e">
        <f>CP169*CR109</f>
        <v>#REF!</v>
      </c>
      <c r="CT169" s="313"/>
      <c r="CU169" s="313" t="e">
        <f>IF(CS169&gt;0,CJ109-CS169,0)</f>
        <v>#REF!</v>
      </c>
      <c r="CV169" s="221"/>
    </row>
    <row r="170" spans="6:51" ht="13.5" hidden="1" thickBot="1">
      <c r="F170" s="384" t="e">
        <f>C170*#REF!</f>
        <v>#REF!</v>
      </c>
      <c r="U170" s="311" t="str">
        <f>IF((W110+1)-W170&lt;(W110+1),(W110+1)-W170," ")</f>
        <v> </v>
      </c>
      <c r="V170" s="312"/>
      <c r="W170" s="312">
        <f t="shared" si="23"/>
        <v>0</v>
      </c>
      <c r="X170" s="312"/>
      <c r="Y170" s="312" t="e">
        <f>W170/((W110+1)*(W110/2))</f>
        <v>#DIV/0!</v>
      </c>
      <c r="Z170" s="312"/>
      <c r="AA170" s="312"/>
      <c r="AB170" s="313" t="e">
        <f>Y170*AA110</f>
        <v>#DIV/0!</v>
      </c>
      <c r="AC170" s="313"/>
      <c r="AD170" s="313" t="e">
        <f>IF(AB170&gt;0,S110-AB170,0)</f>
        <v>#DIV/0!</v>
      </c>
      <c r="AE170" s="221"/>
      <c r="AO170" s="311" t="str">
        <f>IF((AQ110+1)-AQ170&lt;(AQ110+1),(AQ110+1)-AQ170," ")</f>
        <v> </v>
      </c>
      <c r="AP170" s="312"/>
      <c r="AQ170" s="312">
        <f t="shared" si="24"/>
        <v>0</v>
      </c>
      <c r="AR170" s="312"/>
      <c r="AS170" s="312">
        <f>AQ170/((AQ110+1)*(AQ110/2))</f>
        <v>0</v>
      </c>
      <c r="AT170" s="312"/>
      <c r="AU170" s="312"/>
      <c r="AV170" s="313">
        <f>AS170*AU110</f>
        <v>0</v>
      </c>
      <c r="AW170" s="313"/>
      <c r="AX170" s="313">
        <f>IF(AV170&gt;0,AM110-AV170,0)</f>
        <v>0</v>
      </c>
      <c r="AY170" s="221"/>
    </row>
    <row r="171" ht="12.75" hidden="1">
      <c r="F171" s="384" t="e">
        <f>C171*#REF!</f>
        <v>#REF!</v>
      </c>
    </row>
    <row r="172" ht="12.75" hidden="1">
      <c r="F172" s="384" t="e">
        <f>C172*#REF!</f>
        <v>#REF!</v>
      </c>
    </row>
    <row r="173" ht="12.75" hidden="1">
      <c r="F173" s="384" t="e">
        <f>C173*#REF!</f>
        <v>#REF!</v>
      </c>
    </row>
    <row r="174" ht="12.75" hidden="1">
      <c r="F174" s="384" t="e">
        <f>C174*#REF!</f>
        <v>#REF!</v>
      </c>
    </row>
    <row r="175" spans="6:40" ht="13.5" hidden="1" thickTop="1">
      <c r="F175" s="384" t="e">
        <f>C175*#REF!</f>
        <v>#REF!</v>
      </c>
      <c r="AB175" s="228"/>
      <c r="AC175" s="292" t="s">
        <v>200</v>
      </c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7"/>
    </row>
    <row r="176" spans="6:40" ht="12.75" hidden="1">
      <c r="F176" s="384" t="e">
        <f>C176*#REF!</f>
        <v>#REF!</v>
      </c>
      <c r="AB176" s="225"/>
      <c r="AC176" s="215"/>
      <c r="AD176" s="213"/>
      <c r="AE176" s="213"/>
      <c r="AF176" s="213"/>
      <c r="AG176" s="213"/>
      <c r="AH176" s="293" t="s">
        <v>202</v>
      </c>
      <c r="AI176" s="213"/>
      <c r="AJ176" s="213"/>
      <c r="AK176" s="294" t="s">
        <v>203</v>
      </c>
      <c r="AL176" s="295" t="s">
        <v>25</v>
      </c>
      <c r="AM176" s="213"/>
      <c r="AN176" s="296" t="s">
        <v>25</v>
      </c>
    </row>
    <row r="177" spans="6:40" ht="12.75" hidden="1">
      <c r="F177" s="384" t="e">
        <f>C177*#REF!</f>
        <v>#REF!</v>
      </c>
      <c r="AB177" s="297" t="s">
        <v>205</v>
      </c>
      <c r="AC177" s="298" t="s">
        <v>206</v>
      </c>
      <c r="AD177" s="299" t="s">
        <v>207</v>
      </c>
      <c r="AE177" s="235"/>
      <c r="AF177" s="299" t="s">
        <v>208</v>
      </c>
      <c r="AG177" s="299"/>
      <c r="AH177" s="299" t="s">
        <v>209</v>
      </c>
      <c r="AI177" s="235"/>
      <c r="AJ177" s="299" t="s">
        <v>210</v>
      </c>
      <c r="AK177" s="300" t="s">
        <v>19</v>
      </c>
      <c r="AL177" s="300" t="s">
        <v>211</v>
      </c>
      <c r="AM177" s="300" t="s">
        <v>212</v>
      </c>
      <c r="AN177" s="301" t="s">
        <v>211</v>
      </c>
    </row>
    <row r="178" spans="6:40" ht="13.5" hidden="1" thickBot="1">
      <c r="F178" s="384" t="e">
        <f>C178*#REF!</f>
        <v>#REF!</v>
      </c>
      <c r="AB178" s="302">
        <f>AD102*(((AG102/12)/100)*(1+((AG102/12)/100))^AF102)/(((1+((AG102/12)/100))^AF102)-1)</f>
        <v>0</v>
      </c>
      <c r="AC178" s="303">
        <f>AB178*12</f>
        <v>0</v>
      </c>
      <c r="AD178" s="235">
        <f>IF((AF178+1)-AF178&lt;(AF178+1),(AF178+1)-AF178," ")</f>
        <v>1</v>
      </c>
      <c r="AE178" s="235"/>
      <c r="AF178" s="287">
        <f>AF102</f>
        <v>24</v>
      </c>
      <c r="AG178" s="235" t="s">
        <v>6</v>
      </c>
      <c r="AH178" s="235">
        <f>AF178/((AF178+1)*(AF178/2))</f>
        <v>0.08</v>
      </c>
      <c r="AI178" s="235"/>
      <c r="AJ178" s="304">
        <f>(AF102*AB178)-AD102</f>
        <v>0</v>
      </c>
      <c r="AK178" s="305">
        <f>AH178*AJ178</f>
        <v>0</v>
      </c>
      <c r="AL178" s="306">
        <f ca="1">SUM(AK178:OFFSET(AK178,(AG103-1),0))</f>
        <v>0</v>
      </c>
      <c r="AM178" s="305">
        <f>IF(AK178&gt;0,AB178-AK178,0)</f>
        <v>0</v>
      </c>
      <c r="AN178" s="307">
        <f ca="1">SUM(AM178:OFFSET(AM178,(AG103-1),0))</f>
        <v>0</v>
      </c>
    </row>
    <row r="179" spans="6:40" ht="12.75" hidden="1">
      <c r="F179" s="384" t="e">
        <f>C179*#REF!</f>
        <v>#REF!</v>
      </c>
      <c r="AD179" s="234">
        <f>IF((AF178+1)-AF179&lt;(AF178+1),(AF178+1)-AF179," ")</f>
        <v>2</v>
      </c>
      <c r="AE179" s="235"/>
      <c r="AF179" s="235">
        <f aca="true" t="shared" si="25" ref="AF179:AF210">IF(AF178-1&gt;0,AF178-1,0)</f>
        <v>23</v>
      </c>
      <c r="AG179" s="235"/>
      <c r="AH179" s="235">
        <f>AF179/((AF178+1)*(AF178/2))</f>
        <v>0.07666666666666666</v>
      </c>
      <c r="AI179" s="235"/>
      <c r="AJ179" s="235"/>
      <c r="AK179" s="305">
        <f>AH179*AJ178</f>
        <v>0</v>
      </c>
      <c r="AL179" s="305"/>
      <c r="AM179" s="305">
        <f>IF(AK179&gt;0,AB178-AK179,0)</f>
        <v>0</v>
      </c>
      <c r="AN179" s="308"/>
    </row>
    <row r="180" spans="6:61" ht="13.5" hidden="1" thickTop="1">
      <c r="F180" s="384" t="e">
        <f>C180*#REF!</f>
        <v>#REF!</v>
      </c>
      <c r="AD180" s="234">
        <f>IF((AF178+1)-AF180&lt;(AF178+1),(AF178+1)-AF180," ")</f>
        <v>3</v>
      </c>
      <c r="AE180" s="235"/>
      <c r="AF180" s="235">
        <f t="shared" si="25"/>
        <v>22</v>
      </c>
      <c r="AG180" s="235"/>
      <c r="AH180" s="235">
        <f>AF180/((AF178+1)*(AF178/2))</f>
        <v>0.07333333333333333</v>
      </c>
      <c r="AI180" s="235"/>
      <c r="AJ180" s="235"/>
      <c r="AK180" s="305">
        <f>AH180*AJ178</f>
        <v>0</v>
      </c>
      <c r="AL180" s="309" t="s">
        <v>214</v>
      </c>
      <c r="AM180" s="305">
        <f>IF(AK180&gt;0,AB178-AK180,0)</f>
        <v>0</v>
      </c>
      <c r="AN180" s="310" t="s">
        <v>214</v>
      </c>
      <c r="AW180" s="228"/>
      <c r="AX180" s="292" t="s">
        <v>200</v>
      </c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7"/>
    </row>
    <row r="181" spans="6:61" ht="12.75" hidden="1">
      <c r="F181" s="384" t="e">
        <f>C181*#REF!</f>
        <v>#REF!</v>
      </c>
      <c r="AD181" s="234">
        <f>IF((AF178+1)-AF181&lt;(AF178+1),(AF178+1)-AF181," ")</f>
        <v>4</v>
      </c>
      <c r="AE181" s="235"/>
      <c r="AF181" s="235">
        <f t="shared" si="25"/>
        <v>21</v>
      </c>
      <c r="AG181" s="235"/>
      <c r="AH181" s="235">
        <f>AF181/((AF178+1)*(AF178/2))</f>
        <v>0.07</v>
      </c>
      <c r="AI181" s="235"/>
      <c r="AJ181" s="235"/>
      <c r="AK181" s="305">
        <f>AH181*AJ178</f>
        <v>0</v>
      </c>
      <c r="AL181" s="306">
        <f ca="1">SUM(OFFSET(AK178,AG103,0):OFFSET(AK178,(AG103+12-1),0))</f>
        <v>0</v>
      </c>
      <c r="AM181" s="305">
        <f>IF(AK181&gt;0,AB178-AK181,0)</f>
        <v>0</v>
      </c>
      <c r="AN181" s="307">
        <f ca="1">SUM(OFFSET(AM178,AG103,0):OFFSET(AM178,(AG103+12-1),0))</f>
        <v>0</v>
      </c>
      <c r="AW181" s="225"/>
      <c r="AX181" s="215"/>
      <c r="AY181" s="213"/>
      <c r="AZ181" s="213"/>
      <c r="BA181" s="213"/>
      <c r="BB181" s="213"/>
      <c r="BC181" s="293" t="s">
        <v>202</v>
      </c>
      <c r="BD181" s="213"/>
      <c r="BE181" s="213"/>
      <c r="BF181" s="294" t="s">
        <v>203</v>
      </c>
      <c r="BG181" s="295" t="s">
        <v>25</v>
      </c>
      <c r="BH181" s="213"/>
      <c r="BI181" s="296" t="s">
        <v>25</v>
      </c>
    </row>
    <row r="182" spans="6:61" ht="12.75" hidden="1">
      <c r="F182" s="384" t="e">
        <f>C182*#REF!</f>
        <v>#REF!</v>
      </c>
      <c r="AD182" s="234">
        <f>IF((AF178+1)-AF182&lt;(AF178+1),(AF178+1)-AF182," ")</f>
        <v>5</v>
      </c>
      <c r="AE182" s="235"/>
      <c r="AF182" s="235">
        <f t="shared" si="25"/>
        <v>20</v>
      </c>
      <c r="AG182" s="235"/>
      <c r="AH182" s="235">
        <f>AF182/((AF178+1)*(AF178/2))</f>
        <v>0.06666666666666667</v>
      </c>
      <c r="AI182" s="235"/>
      <c r="AJ182" s="235"/>
      <c r="AK182" s="305">
        <f>AH182*AJ178</f>
        <v>0</v>
      </c>
      <c r="AL182" s="309" t="s">
        <v>215</v>
      </c>
      <c r="AM182" s="305">
        <f>IF(AK182&gt;0,AB178-AK182,0)</f>
        <v>0</v>
      </c>
      <c r="AN182" s="310" t="s">
        <v>215</v>
      </c>
      <c r="AW182" s="297" t="s">
        <v>205</v>
      </c>
      <c r="AX182" s="298" t="s">
        <v>206</v>
      </c>
      <c r="AY182" s="299" t="s">
        <v>207</v>
      </c>
      <c r="AZ182" s="235"/>
      <c r="BA182" s="299" t="s">
        <v>208</v>
      </c>
      <c r="BB182" s="299"/>
      <c r="BC182" s="299" t="s">
        <v>209</v>
      </c>
      <c r="BD182" s="235"/>
      <c r="BE182" s="299" t="s">
        <v>210</v>
      </c>
      <c r="BF182" s="300" t="s">
        <v>19</v>
      </c>
      <c r="BG182" s="300" t="s">
        <v>211</v>
      </c>
      <c r="BH182" s="300" t="s">
        <v>212</v>
      </c>
      <c r="BI182" s="301" t="s">
        <v>211</v>
      </c>
    </row>
    <row r="183" spans="6:61" ht="13.5" hidden="1" thickBot="1">
      <c r="F183" s="384" t="e">
        <f>C183*#REF!</f>
        <v>#REF!</v>
      </c>
      <c r="AD183" s="234">
        <f>IF((AF178+1)-AF183&lt;(AF178+1),(AF178+1)-AF183," ")</f>
        <v>6</v>
      </c>
      <c r="AE183" s="235"/>
      <c r="AF183" s="235">
        <f t="shared" si="25"/>
        <v>19</v>
      </c>
      <c r="AG183" s="235"/>
      <c r="AH183" s="235">
        <f>AF183/((AF178+1)*(AF178/2))</f>
        <v>0.06333333333333334</v>
      </c>
      <c r="AI183" s="235"/>
      <c r="AJ183" s="235"/>
      <c r="AK183" s="305">
        <f>AH183*AJ178</f>
        <v>0</v>
      </c>
      <c r="AL183" s="306">
        <f ca="1">SUM(OFFSET(AK178,AG103+12,0):OFFSET(AK178,(AG103+24-1),0))</f>
        <v>0</v>
      </c>
      <c r="AM183" s="305">
        <f>IF(AK183&gt;0,AB178-AK183,0)</f>
        <v>0</v>
      </c>
      <c r="AN183" s="307">
        <f ca="1">SUM(OFFSET(AM178,AG103+12,0):OFFSET(AM178,(AG103+24-1),0))</f>
        <v>0</v>
      </c>
      <c r="AW183" s="302">
        <f>AX102*(((BA102/12)/100)*(1+((BA102/12)/100))^AZ102)/(((1+((BA102/12)/100))^AZ102)-1)</f>
        <v>0</v>
      </c>
      <c r="AX183" s="303">
        <f>AW183*12</f>
        <v>0</v>
      </c>
      <c r="AY183" s="235">
        <f>IF((BA183+1)-BA183&lt;(BA183+1),(BA183+1)-BA183," ")</f>
        <v>1</v>
      </c>
      <c r="AZ183" s="235"/>
      <c r="BA183" s="287">
        <f>AZ102</f>
        <v>24</v>
      </c>
      <c r="BB183" s="235" t="s">
        <v>6</v>
      </c>
      <c r="BC183" s="235">
        <f>BA183/((BA183+1)*(BA183/2))</f>
        <v>0.08</v>
      </c>
      <c r="BD183" s="235"/>
      <c r="BE183" s="304">
        <f>(AZ102*AW183)-AX102</f>
        <v>0</v>
      </c>
      <c r="BF183" s="305">
        <f>BC183*BE183</f>
        <v>0</v>
      </c>
      <c r="BG183" s="306">
        <f ca="1">SUM(BF183:OFFSET(BF183,(BA103-1),0))</f>
        <v>0</v>
      </c>
      <c r="BH183" s="305">
        <f>IF(BF183&gt;0,AW183-BF183,0)</f>
        <v>0</v>
      </c>
      <c r="BI183" s="307">
        <f ca="1">SUM(BH183:OFFSET(BH183,(BA103-1),0))</f>
        <v>0</v>
      </c>
    </row>
    <row r="184" spans="6:61" ht="12.75" hidden="1">
      <c r="F184" s="384" t="e">
        <f>C184*#REF!</f>
        <v>#REF!</v>
      </c>
      <c r="AD184" s="234">
        <f>IF((AF178+1)-AF184&lt;(AF178+1),(AF178+1)-AF184," ")</f>
        <v>7</v>
      </c>
      <c r="AE184" s="235"/>
      <c r="AF184" s="235">
        <f t="shared" si="25"/>
        <v>18</v>
      </c>
      <c r="AG184" s="235"/>
      <c r="AH184" s="235">
        <f>AF184/((AF178+1)*(AF178/2))</f>
        <v>0.06</v>
      </c>
      <c r="AI184" s="235"/>
      <c r="AJ184" s="235"/>
      <c r="AK184" s="305">
        <f>AH184*AJ178</f>
        <v>0</v>
      </c>
      <c r="AL184" s="309" t="s">
        <v>216</v>
      </c>
      <c r="AM184" s="305">
        <f>IF(AK184&gt;0,AB178-AK184,0)</f>
        <v>0</v>
      </c>
      <c r="AN184" s="310" t="s">
        <v>216</v>
      </c>
      <c r="AY184" s="234">
        <f>IF((BA183+1)-BA184&lt;(BA183+1),(BA183+1)-BA184," ")</f>
        <v>2</v>
      </c>
      <c r="AZ184" s="235"/>
      <c r="BA184" s="235">
        <f aca="true" t="shared" si="26" ref="BA184:BA215">IF(BA183-1&gt;0,BA183-1,0)</f>
        <v>23</v>
      </c>
      <c r="BB184" s="235"/>
      <c r="BC184" s="235">
        <f>BA184/((BA183+1)*(BA183/2))</f>
        <v>0.07666666666666666</v>
      </c>
      <c r="BD184" s="235"/>
      <c r="BE184" s="235"/>
      <c r="BF184" s="305">
        <f>BC184*BE183</f>
        <v>0</v>
      </c>
      <c r="BG184" s="305"/>
      <c r="BH184" s="305">
        <f>IF(BF184&gt;0,AW183-BF184,0)</f>
        <v>0</v>
      </c>
      <c r="BI184" s="308"/>
    </row>
    <row r="185" spans="6:61" ht="12.75" hidden="1">
      <c r="F185" s="384" t="e">
        <f>C185*#REF!</f>
        <v>#REF!</v>
      </c>
      <c r="AD185" s="234">
        <f>IF((AF178+1)-AF185&lt;(AF178+1),(AF178+1)-AF185," ")</f>
        <v>8</v>
      </c>
      <c r="AE185" s="235"/>
      <c r="AF185" s="235">
        <f t="shared" si="25"/>
        <v>17</v>
      </c>
      <c r="AG185" s="235"/>
      <c r="AH185" s="235">
        <f>AF185/((AF178+1)*(AF178/2))</f>
        <v>0.056666666666666664</v>
      </c>
      <c r="AI185" s="235"/>
      <c r="AJ185" s="235"/>
      <c r="AK185" s="305">
        <f>AH185*AJ178</f>
        <v>0</v>
      </c>
      <c r="AL185" s="306">
        <f ca="1">SUM(OFFSET(AK178,AG103+24,0):OFFSET(AK178,(AG103+36-1),0))</f>
        <v>0</v>
      </c>
      <c r="AM185" s="305">
        <f>IF(AK185&gt;0,AB178-AK185,0)</f>
        <v>0</v>
      </c>
      <c r="AN185" s="307">
        <f ca="1">SUM(OFFSET(AM178,AG103+24,0):OFFSET(AM178,(AG103+36-1),0))</f>
        <v>0</v>
      </c>
      <c r="AY185" s="234">
        <f>IF((BA183+1)-BA185&lt;(BA183+1),(BA183+1)-BA185," ")</f>
        <v>3</v>
      </c>
      <c r="AZ185" s="235"/>
      <c r="BA185" s="235">
        <f t="shared" si="26"/>
        <v>22</v>
      </c>
      <c r="BB185" s="235"/>
      <c r="BC185" s="235">
        <f>BA185/((BA183+1)*(BA183/2))</f>
        <v>0.07333333333333333</v>
      </c>
      <c r="BD185" s="235"/>
      <c r="BE185" s="235"/>
      <c r="BF185" s="305">
        <f>BC185*BE183</f>
        <v>0</v>
      </c>
      <c r="BG185" s="309" t="s">
        <v>214</v>
      </c>
      <c r="BH185" s="305">
        <f>IF(BF185&gt;0,AW183-BF185,0)</f>
        <v>0</v>
      </c>
      <c r="BI185" s="310" t="s">
        <v>214</v>
      </c>
    </row>
    <row r="186" spans="6:61" ht="12.75" hidden="1">
      <c r="F186" s="384" t="e">
        <f>C186*#REF!</f>
        <v>#REF!</v>
      </c>
      <c r="AD186" s="234">
        <f>IF((AF178+1)-AF186&lt;(AF178+1),(AF178+1)-AF186," ")</f>
        <v>9</v>
      </c>
      <c r="AE186" s="235"/>
      <c r="AF186" s="235">
        <f t="shared" si="25"/>
        <v>16</v>
      </c>
      <c r="AG186" s="235"/>
      <c r="AH186" s="235">
        <f>AF186/((AF178+1)*(AF178/2))</f>
        <v>0.05333333333333334</v>
      </c>
      <c r="AI186" s="235"/>
      <c r="AJ186" s="235"/>
      <c r="AK186" s="305">
        <f>AH186*AJ178</f>
        <v>0</v>
      </c>
      <c r="AL186" s="309" t="s">
        <v>217</v>
      </c>
      <c r="AM186" s="305">
        <f>IF(AK186&gt;0,AB178-AK186,0)</f>
        <v>0</v>
      </c>
      <c r="AN186" s="310" t="s">
        <v>217</v>
      </c>
      <c r="AY186" s="234">
        <f>IF((BA183+1)-BA186&lt;(BA183+1),(BA183+1)-BA186," ")</f>
        <v>4</v>
      </c>
      <c r="AZ186" s="235"/>
      <c r="BA186" s="235">
        <f t="shared" si="26"/>
        <v>21</v>
      </c>
      <c r="BB186" s="235"/>
      <c r="BC186" s="235">
        <f>BA186/((BA183+1)*(BA183/2))</f>
        <v>0.07</v>
      </c>
      <c r="BD186" s="235"/>
      <c r="BE186" s="235"/>
      <c r="BF186" s="305">
        <f>BC186*BE183</f>
        <v>0</v>
      </c>
      <c r="BG186" s="306">
        <f ca="1">SUM(OFFSET(BF183,BA103,0):OFFSET(BF183,(BA103+12-1),0))</f>
        <v>0</v>
      </c>
      <c r="BH186" s="305">
        <f>IF(BF186&gt;0,AW183-BF186,0)</f>
        <v>0</v>
      </c>
      <c r="BI186" s="307">
        <f ca="1">SUM(OFFSET(BH183,BA103,0):OFFSET(BH183,(BA103+12-1),0))</f>
        <v>0</v>
      </c>
    </row>
    <row r="187" spans="6:61" ht="12.75" hidden="1">
      <c r="F187" s="384" t="e">
        <f>C187*#REF!</f>
        <v>#REF!</v>
      </c>
      <c r="AD187" s="234">
        <f>IF((AF178+1)-AF187&lt;(AF178+1),(AF178+1)-AF187," ")</f>
        <v>10</v>
      </c>
      <c r="AE187" s="235"/>
      <c r="AF187" s="235">
        <f t="shared" si="25"/>
        <v>15</v>
      </c>
      <c r="AG187" s="235"/>
      <c r="AH187" s="235">
        <f>AF187/((AF178+1)*(AF178/2))</f>
        <v>0.05</v>
      </c>
      <c r="AI187" s="235"/>
      <c r="AJ187" s="235"/>
      <c r="AK187" s="305">
        <f>AH187*AJ178</f>
        <v>0</v>
      </c>
      <c r="AL187" s="306">
        <f ca="1">SUM(OFFSET(AK178,AG103+36,0):OFFSET(AK178,(AG103+48-1),0))</f>
        <v>0</v>
      </c>
      <c r="AM187" s="305">
        <f>IF(AK187&gt;0,AB178-AK187,0)</f>
        <v>0</v>
      </c>
      <c r="AN187" s="307">
        <f ca="1">SUM(OFFSET(AM178,AG103+36,0):OFFSET(AM178,(AG103+48-1),0))</f>
        <v>0</v>
      </c>
      <c r="AY187" s="234">
        <f>IF((BA183+1)-BA187&lt;(BA183+1),(BA183+1)-BA187," ")</f>
        <v>5</v>
      </c>
      <c r="AZ187" s="235"/>
      <c r="BA187" s="235">
        <f t="shared" si="26"/>
        <v>20</v>
      </c>
      <c r="BB187" s="235"/>
      <c r="BC187" s="235">
        <f>BA187/((BA183+1)*(BA183/2))</f>
        <v>0.06666666666666667</v>
      </c>
      <c r="BD187" s="235"/>
      <c r="BE187" s="235"/>
      <c r="BF187" s="305">
        <f>BC187*BE183</f>
        <v>0</v>
      </c>
      <c r="BG187" s="309" t="s">
        <v>215</v>
      </c>
      <c r="BH187" s="305">
        <f>IF(BF187&gt;0,AW183-BF187,0)</f>
        <v>0</v>
      </c>
      <c r="BI187" s="310" t="s">
        <v>215</v>
      </c>
    </row>
    <row r="188" spans="6:61" ht="12.75" hidden="1">
      <c r="F188" s="384" t="e">
        <f>C188*#REF!</f>
        <v>#REF!</v>
      </c>
      <c r="AD188" s="234">
        <f>IF((AF178+1)-AF188&lt;(AF178+1),(AF178+1)-AF188," ")</f>
        <v>11</v>
      </c>
      <c r="AE188" s="235"/>
      <c r="AF188" s="235">
        <f t="shared" si="25"/>
        <v>14</v>
      </c>
      <c r="AG188" s="235"/>
      <c r="AH188" s="235">
        <f>AF188/((AF178+1)*(AF178/2))</f>
        <v>0.04666666666666667</v>
      </c>
      <c r="AI188" s="235"/>
      <c r="AJ188" s="235"/>
      <c r="AK188" s="305">
        <f>AH188*AJ178</f>
        <v>0</v>
      </c>
      <c r="AL188" s="309" t="s">
        <v>218</v>
      </c>
      <c r="AM188" s="305">
        <f>IF(AK188&gt;0,AB178-AK188,0)</f>
        <v>0</v>
      </c>
      <c r="AN188" s="310" t="s">
        <v>218</v>
      </c>
      <c r="AY188" s="234">
        <f>IF((BA183+1)-BA188&lt;(BA183+1),(BA183+1)-BA188," ")</f>
        <v>6</v>
      </c>
      <c r="AZ188" s="235"/>
      <c r="BA188" s="235">
        <f t="shared" si="26"/>
        <v>19</v>
      </c>
      <c r="BB188" s="235"/>
      <c r="BC188" s="235">
        <f>BA188/((BA183+1)*(BA183/2))</f>
        <v>0.06333333333333334</v>
      </c>
      <c r="BD188" s="235"/>
      <c r="BE188" s="235"/>
      <c r="BF188" s="305">
        <f>BC188*BE183</f>
        <v>0</v>
      </c>
      <c r="BG188" s="306">
        <f ca="1">SUM(OFFSET(BF183,BA103+12,0):OFFSET(BF183,(BA103+24-1),0))</f>
        <v>0</v>
      </c>
      <c r="BH188" s="305">
        <f>IF(BF188&gt;0,AW183-BF188,0)</f>
        <v>0</v>
      </c>
      <c r="BI188" s="307">
        <f ca="1">SUM(OFFSET(BH183,BA103+12,0):OFFSET(BH183,(BA103+24-1),0))</f>
        <v>0</v>
      </c>
    </row>
    <row r="189" spans="6:61" ht="12.75" hidden="1">
      <c r="F189" s="384" t="e">
        <f>C189*#REF!</f>
        <v>#REF!</v>
      </c>
      <c r="AD189" s="234">
        <f>IF((AF178+1)-AF189&lt;(AF178+1),(AF178+1)-AF189," ")</f>
        <v>12</v>
      </c>
      <c r="AE189" s="235"/>
      <c r="AF189" s="235">
        <f t="shared" si="25"/>
        <v>13</v>
      </c>
      <c r="AG189" s="235"/>
      <c r="AH189" s="235">
        <f>AF189/((AF178+1)*(AF178/2))</f>
        <v>0.043333333333333335</v>
      </c>
      <c r="AI189" s="235"/>
      <c r="AJ189" s="235"/>
      <c r="AK189" s="305">
        <f>AH189*AJ178</f>
        <v>0</v>
      </c>
      <c r="AL189" s="306">
        <f ca="1">SUM(OFFSET(AK178,AG103+48,0):OFFSET(AK178,(AG103+60-1),0))</f>
        <v>0</v>
      </c>
      <c r="AM189" s="305">
        <f>IF(AK189&gt;0,AB178-AK189,0)</f>
        <v>0</v>
      </c>
      <c r="AN189" s="307">
        <f ca="1">SUM(OFFSET(AM178,AG103+48,0):OFFSET(AM178,(AG103+60-1),0))</f>
        <v>0</v>
      </c>
      <c r="AY189" s="234">
        <f>IF((BA183+1)-BA189&lt;(BA183+1),(BA183+1)-BA189," ")</f>
        <v>7</v>
      </c>
      <c r="AZ189" s="235"/>
      <c r="BA189" s="235">
        <f t="shared" si="26"/>
        <v>18</v>
      </c>
      <c r="BB189" s="235"/>
      <c r="BC189" s="235">
        <f>BA189/((BA183+1)*(BA183/2))</f>
        <v>0.06</v>
      </c>
      <c r="BD189" s="235"/>
      <c r="BE189" s="235"/>
      <c r="BF189" s="305">
        <f>BC189*BE183</f>
        <v>0</v>
      </c>
      <c r="BG189" s="309" t="s">
        <v>216</v>
      </c>
      <c r="BH189" s="305">
        <f>IF(BF189&gt;0,AW183-BF189,0)</f>
        <v>0</v>
      </c>
      <c r="BI189" s="310" t="s">
        <v>216</v>
      </c>
    </row>
    <row r="190" spans="6:61" ht="12.75" hidden="1">
      <c r="F190" s="384" t="e">
        <f>C190*#REF!</f>
        <v>#REF!</v>
      </c>
      <c r="AD190" s="234">
        <f>IF((AF178+1)-AF190&lt;(AF178+1),(AF178+1)-AF190," ")</f>
        <v>13</v>
      </c>
      <c r="AE190" s="235"/>
      <c r="AF190" s="235">
        <f t="shared" si="25"/>
        <v>12</v>
      </c>
      <c r="AG190" s="235"/>
      <c r="AH190" s="235">
        <f>AF190/((AF178+1)*(AF178/2))</f>
        <v>0.04</v>
      </c>
      <c r="AI190" s="235"/>
      <c r="AJ190" s="235"/>
      <c r="AK190" s="305">
        <f>AH190*AJ178</f>
        <v>0</v>
      </c>
      <c r="AL190" s="309" t="s">
        <v>219</v>
      </c>
      <c r="AM190" s="305">
        <f>IF(AK190&gt;0,AB178-AK190,0)</f>
        <v>0</v>
      </c>
      <c r="AN190" s="310" t="s">
        <v>219</v>
      </c>
      <c r="AY190" s="234">
        <f>IF((BA183+1)-BA190&lt;(BA183+1),(BA183+1)-BA190," ")</f>
        <v>8</v>
      </c>
      <c r="AZ190" s="235"/>
      <c r="BA190" s="235">
        <f t="shared" si="26"/>
        <v>17</v>
      </c>
      <c r="BB190" s="235"/>
      <c r="BC190" s="235">
        <f>BA190/((BA183+1)*(BA183/2))</f>
        <v>0.056666666666666664</v>
      </c>
      <c r="BD190" s="235"/>
      <c r="BE190" s="235"/>
      <c r="BF190" s="305">
        <f>BC190*BE183</f>
        <v>0</v>
      </c>
      <c r="BG190" s="306">
        <f ca="1">SUM(OFFSET(BF183,BA103+24,0):OFFSET(BF183,(BA103+36-1),0))</f>
        <v>0</v>
      </c>
      <c r="BH190" s="305">
        <f>IF(BF190&gt;0,AW183-BF190,0)</f>
        <v>0</v>
      </c>
      <c r="BI190" s="307">
        <f ca="1">SUM(OFFSET(BH183,BA103+24,0):OFFSET(BH183,(BA103+36-1),0))</f>
        <v>0</v>
      </c>
    </row>
    <row r="191" spans="6:61" ht="12.75" hidden="1">
      <c r="F191" s="384" t="e">
        <f>C191*#REF!</f>
        <v>#REF!</v>
      </c>
      <c r="AD191" s="234">
        <f>IF((AF178+1)-AF191&lt;(AF178+1),(AF178+1)-AF191," ")</f>
        <v>14</v>
      </c>
      <c r="AE191" s="235"/>
      <c r="AF191" s="235">
        <f t="shared" si="25"/>
        <v>11</v>
      </c>
      <c r="AG191" s="235"/>
      <c r="AH191" s="235">
        <f>AF191/((AF178+1)*(AF178/2))</f>
        <v>0.03666666666666667</v>
      </c>
      <c r="AI191" s="235"/>
      <c r="AJ191" s="235"/>
      <c r="AK191" s="305">
        <f>AH191*AJ178</f>
        <v>0</v>
      </c>
      <c r="AL191" s="306">
        <f ca="1">SUM(OFFSET(AK178,AG103+60,0):OFFSET(AK178,(AG103+72-1),0))</f>
        <v>0</v>
      </c>
      <c r="AM191" s="305">
        <f>IF(AK191&gt;0,AB178-AK191,0)</f>
        <v>0</v>
      </c>
      <c r="AN191" s="307">
        <f ca="1">SUM(OFFSET(AM178,AG103+60,0):OFFSET(AM178,(AG103+72-1),0))</f>
        <v>0</v>
      </c>
      <c r="AY191" s="234">
        <f>IF((BA183+1)-BA191&lt;(BA183+1),(BA183+1)-BA191," ")</f>
        <v>9</v>
      </c>
      <c r="AZ191" s="235"/>
      <c r="BA191" s="235">
        <f t="shared" si="26"/>
        <v>16</v>
      </c>
      <c r="BB191" s="235"/>
      <c r="BC191" s="235">
        <f>BA191/((BA183+1)*(BA183/2))</f>
        <v>0.05333333333333334</v>
      </c>
      <c r="BD191" s="235"/>
      <c r="BE191" s="235"/>
      <c r="BF191" s="305">
        <f>BC191*BE183</f>
        <v>0</v>
      </c>
      <c r="BG191" s="309" t="s">
        <v>217</v>
      </c>
      <c r="BH191" s="305">
        <f>IF(BF191&gt;0,AW183-BF191,0)</f>
        <v>0</v>
      </c>
      <c r="BI191" s="310" t="s">
        <v>217</v>
      </c>
    </row>
    <row r="192" spans="6:61" ht="12.75" hidden="1">
      <c r="F192" s="384" t="e">
        <f>C192*#REF!</f>
        <v>#REF!</v>
      </c>
      <c r="AD192" s="234">
        <f>IF((AF178+1)-AF192&lt;(AF178+1),(AF178+1)-AF192," ")</f>
        <v>15</v>
      </c>
      <c r="AE192" s="235"/>
      <c r="AF192" s="235">
        <f t="shared" si="25"/>
        <v>10</v>
      </c>
      <c r="AG192" s="235"/>
      <c r="AH192" s="235">
        <f>AF192/((AF178+1)*(AF178/2))</f>
        <v>0.03333333333333333</v>
      </c>
      <c r="AI192" s="235"/>
      <c r="AJ192" s="235"/>
      <c r="AK192" s="305">
        <f>AH192*AJ178</f>
        <v>0</v>
      </c>
      <c r="AL192" s="305"/>
      <c r="AM192" s="305">
        <f>IF(AK192&gt;0,AB178-AK192,0)</f>
        <v>0</v>
      </c>
      <c r="AN192" s="226"/>
      <c r="AY192" s="234">
        <f>IF((BA183+1)-BA192&lt;(BA183+1),(BA183+1)-BA192," ")</f>
        <v>10</v>
      </c>
      <c r="AZ192" s="235"/>
      <c r="BA192" s="235">
        <f t="shared" si="26"/>
        <v>15</v>
      </c>
      <c r="BB192" s="235"/>
      <c r="BC192" s="235">
        <f>BA192/((BA183+1)*(BA183/2))</f>
        <v>0.05</v>
      </c>
      <c r="BD192" s="235"/>
      <c r="BE192" s="235"/>
      <c r="BF192" s="305">
        <f>BC192*BE183</f>
        <v>0</v>
      </c>
      <c r="BG192" s="306">
        <f ca="1">SUM(OFFSET(BF183,BA103+36,0):OFFSET(BF183,(BA103+48-1),0))</f>
        <v>0</v>
      </c>
      <c r="BH192" s="305">
        <f>IF(BF192&gt;0,AW183-BF192,0)</f>
        <v>0</v>
      </c>
      <c r="BI192" s="307">
        <f ca="1">SUM(OFFSET(BH183,BA103+36,0):OFFSET(BH183,(BA103+48-1),0))</f>
        <v>0</v>
      </c>
    </row>
    <row r="193" spans="6:61" ht="12.75" hidden="1">
      <c r="F193" s="384" t="e">
        <f>C193*#REF!</f>
        <v>#REF!</v>
      </c>
      <c r="AD193" s="234">
        <f>IF((AF178+1)-AF193&lt;(AF178+1),(AF178+1)-AF193," ")</f>
        <v>16</v>
      </c>
      <c r="AE193" s="235"/>
      <c r="AF193" s="235">
        <f t="shared" si="25"/>
        <v>9</v>
      </c>
      <c r="AG193" s="235"/>
      <c r="AH193" s="235">
        <f>AF193/((AF178+1)*(AF178/2))</f>
        <v>0.03</v>
      </c>
      <c r="AI193" s="235"/>
      <c r="AJ193" s="235"/>
      <c r="AK193" s="305">
        <f>AH193*AJ178</f>
        <v>0</v>
      </c>
      <c r="AL193" s="305"/>
      <c r="AM193" s="305">
        <f>IF(AK193&gt;0,AB178-AK193,0)</f>
        <v>0</v>
      </c>
      <c r="AN193" s="226"/>
      <c r="AY193" s="234">
        <f>IF((BA183+1)-BA193&lt;(BA183+1),(BA183+1)-BA193," ")</f>
        <v>11</v>
      </c>
      <c r="AZ193" s="235"/>
      <c r="BA193" s="235">
        <f t="shared" si="26"/>
        <v>14</v>
      </c>
      <c r="BB193" s="235"/>
      <c r="BC193" s="235">
        <f>BA193/((BA183+1)*(BA183/2))</f>
        <v>0.04666666666666667</v>
      </c>
      <c r="BD193" s="235"/>
      <c r="BE193" s="235"/>
      <c r="BF193" s="305">
        <f>BC193*BE183</f>
        <v>0</v>
      </c>
      <c r="BG193" s="309" t="s">
        <v>218</v>
      </c>
      <c r="BH193" s="305">
        <f>IF(BF193&gt;0,AW183-BF193,0)</f>
        <v>0</v>
      </c>
      <c r="BI193" s="310" t="s">
        <v>218</v>
      </c>
    </row>
    <row r="194" spans="6:61" ht="12.75" hidden="1">
      <c r="F194" s="384" t="e">
        <f>C194*#REF!</f>
        <v>#REF!</v>
      </c>
      <c r="AD194" s="234">
        <f>IF((AF178+1)-AF194&lt;(AF178+1),(AF178+1)-AF194," ")</f>
        <v>17</v>
      </c>
      <c r="AE194" s="235"/>
      <c r="AF194" s="235">
        <f t="shared" si="25"/>
        <v>8</v>
      </c>
      <c r="AG194" s="235"/>
      <c r="AH194" s="235">
        <f>AF194/((AF178+1)*(AF178/2))</f>
        <v>0.02666666666666667</v>
      </c>
      <c r="AI194" s="235"/>
      <c r="AJ194" s="235"/>
      <c r="AK194" s="305">
        <f>AH194*AJ178</f>
        <v>0</v>
      </c>
      <c r="AL194" s="305"/>
      <c r="AM194" s="305">
        <f>IF(AK194&gt;0,AB178-AK194,0)</f>
        <v>0</v>
      </c>
      <c r="AN194" s="226"/>
      <c r="AY194" s="234">
        <f>IF((BA183+1)-BA194&lt;(BA183+1),(BA183+1)-BA194," ")</f>
        <v>12</v>
      </c>
      <c r="AZ194" s="235"/>
      <c r="BA194" s="235">
        <f t="shared" si="26"/>
        <v>13</v>
      </c>
      <c r="BB194" s="235"/>
      <c r="BC194" s="235">
        <f>BA194/((BA183+1)*(BA183/2))</f>
        <v>0.043333333333333335</v>
      </c>
      <c r="BD194" s="235"/>
      <c r="BE194" s="235"/>
      <c r="BF194" s="305">
        <f>BC194*BE183</f>
        <v>0</v>
      </c>
      <c r="BG194" s="306">
        <f ca="1">SUM(OFFSET(BF183,BA103+48,0):OFFSET(BF183,(BA103+60-1),0))</f>
        <v>0</v>
      </c>
      <c r="BH194" s="305">
        <f>IF(BF194&gt;0,AW183-BF194,0)</f>
        <v>0</v>
      </c>
      <c r="BI194" s="307">
        <f ca="1">SUM(OFFSET(BH183,BA103+48,0):OFFSET(BH183,(BA103+60-1),0))</f>
        <v>0</v>
      </c>
    </row>
    <row r="195" spans="6:61" ht="12.75" hidden="1">
      <c r="F195" s="384" t="e">
        <f>C195*#REF!</f>
        <v>#REF!</v>
      </c>
      <c r="AD195" s="234">
        <f>IF((AF178+1)-AF195&lt;(AF178+1),(AF178+1)-AF195," ")</f>
        <v>18</v>
      </c>
      <c r="AE195" s="235"/>
      <c r="AF195" s="235">
        <f t="shared" si="25"/>
        <v>7</v>
      </c>
      <c r="AG195" s="235"/>
      <c r="AH195" s="235">
        <f>AF195/((AF178+1)*(AF178/2))</f>
        <v>0.023333333333333334</v>
      </c>
      <c r="AI195" s="235"/>
      <c r="AJ195" s="235"/>
      <c r="AK195" s="305">
        <f>AH195*AJ178</f>
        <v>0</v>
      </c>
      <c r="AL195" s="305"/>
      <c r="AM195" s="305">
        <f>IF(AK195&gt;0,AB178-AK195,0)</f>
        <v>0</v>
      </c>
      <c r="AN195" s="226"/>
      <c r="AY195" s="234">
        <f>IF((BA183+1)-BA195&lt;(BA183+1),(BA183+1)-BA195," ")</f>
        <v>13</v>
      </c>
      <c r="AZ195" s="235"/>
      <c r="BA195" s="235">
        <f t="shared" si="26"/>
        <v>12</v>
      </c>
      <c r="BB195" s="235"/>
      <c r="BC195" s="235">
        <f>BA195/((BA183+1)*(BA183/2))</f>
        <v>0.04</v>
      </c>
      <c r="BD195" s="235"/>
      <c r="BE195" s="235"/>
      <c r="BF195" s="305">
        <f>BC195*BE183</f>
        <v>0</v>
      </c>
      <c r="BG195" s="309" t="s">
        <v>219</v>
      </c>
      <c r="BH195" s="305">
        <f>IF(BF195&gt;0,AW183-BF195,0)</f>
        <v>0</v>
      </c>
      <c r="BI195" s="310" t="s">
        <v>219</v>
      </c>
    </row>
    <row r="196" spans="6:61" ht="12.75" hidden="1">
      <c r="F196" s="384" t="e">
        <f>C196*#REF!</f>
        <v>#REF!</v>
      </c>
      <c r="AD196" s="234">
        <f>IF((AF178+1)-AF196&lt;(AF178+1),(AF178+1)-AF196," ")</f>
        <v>19</v>
      </c>
      <c r="AE196" s="235"/>
      <c r="AF196" s="235">
        <f t="shared" si="25"/>
        <v>6</v>
      </c>
      <c r="AG196" s="235"/>
      <c r="AH196" s="235">
        <f>AF196/((AF178+1)*(AF178/2))</f>
        <v>0.02</v>
      </c>
      <c r="AI196" s="235"/>
      <c r="AJ196" s="235"/>
      <c r="AK196" s="305">
        <f>AH196*AJ178</f>
        <v>0</v>
      </c>
      <c r="AL196" s="305"/>
      <c r="AM196" s="305">
        <f>IF(AK196&gt;0,AB178-AK196,0)</f>
        <v>0</v>
      </c>
      <c r="AN196" s="226"/>
      <c r="AY196" s="234">
        <f>IF((BA183+1)-BA196&lt;(BA183+1),(BA183+1)-BA196," ")</f>
        <v>14</v>
      </c>
      <c r="AZ196" s="235"/>
      <c r="BA196" s="235">
        <f t="shared" si="26"/>
        <v>11</v>
      </c>
      <c r="BB196" s="235"/>
      <c r="BC196" s="235">
        <f>BA196/((BA183+1)*(BA183/2))</f>
        <v>0.03666666666666667</v>
      </c>
      <c r="BD196" s="235"/>
      <c r="BE196" s="235"/>
      <c r="BF196" s="305">
        <f>BC196*BE183</f>
        <v>0</v>
      </c>
      <c r="BG196" s="306">
        <f ca="1">SUM(OFFSET(BF183,BA103+60,0):OFFSET(BF183,(BA103+72-1),0))</f>
        <v>0</v>
      </c>
      <c r="BH196" s="305">
        <f>IF(BF196&gt;0,AW183-BF196,0)</f>
        <v>0</v>
      </c>
      <c r="BI196" s="307">
        <f ca="1">SUM(OFFSET(BH183,BA103+60,0):OFFSET(BH183,(BA103+72-1),0))</f>
        <v>0</v>
      </c>
    </row>
    <row r="197" spans="6:61" ht="12.75" hidden="1">
      <c r="F197" s="384" t="e">
        <f>C197*#REF!</f>
        <v>#REF!</v>
      </c>
      <c r="AD197" s="234">
        <f>IF((AF178+1)-AF197&lt;(AF178+1),(AF178+1)-AF197," ")</f>
        <v>20</v>
      </c>
      <c r="AE197" s="235"/>
      <c r="AF197" s="235">
        <f t="shared" si="25"/>
        <v>5</v>
      </c>
      <c r="AG197" s="235"/>
      <c r="AH197" s="235">
        <f>AF197/((AF178+1)*(AF178/2))</f>
        <v>0.016666666666666666</v>
      </c>
      <c r="AI197" s="235"/>
      <c r="AJ197" s="235"/>
      <c r="AK197" s="305">
        <f>AH197*AJ178</f>
        <v>0</v>
      </c>
      <c r="AL197" s="305"/>
      <c r="AM197" s="305">
        <f>IF(AK197&gt;0,AB178-AK197,0)</f>
        <v>0</v>
      </c>
      <c r="AN197" s="226"/>
      <c r="AY197" s="234">
        <f>IF((BA183+1)-BA197&lt;(BA183+1),(BA183+1)-BA197," ")</f>
        <v>15</v>
      </c>
      <c r="AZ197" s="235"/>
      <c r="BA197" s="235">
        <f t="shared" si="26"/>
        <v>10</v>
      </c>
      <c r="BB197" s="235"/>
      <c r="BC197" s="235">
        <f>BA197/((BA183+1)*(BA183/2))</f>
        <v>0.03333333333333333</v>
      </c>
      <c r="BD197" s="235"/>
      <c r="BE197" s="235"/>
      <c r="BF197" s="305">
        <f>BC197*BE183</f>
        <v>0</v>
      </c>
      <c r="BG197" s="305"/>
      <c r="BH197" s="305">
        <f>IF(BF197&gt;0,AW183-BF197,0)</f>
        <v>0</v>
      </c>
      <c r="BI197" s="226"/>
    </row>
    <row r="198" spans="6:61" ht="12.75" hidden="1">
      <c r="F198" s="384" t="e">
        <f>C198*#REF!</f>
        <v>#REF!</v>
      </c>
      <c r="AD198" s="234">
        <f>IF((AF178+1)-AF198&lt;(AF178+1),(AF178+1)-AF198," ")</f>
        <v>21</v>
      </c>
      <c r="AE198" s="235"/>
      <c r="AF198" s="235">
        <f t="shared" si="25"/>
        <v>4</v>
      </c>
      <c r="AG198" s="235"/>
      <c r="AH198" s="235">
        <f>AF198/((AF178+1)*(AF178/2))</f>
        <v>0.013333333333333334</v>
      </c>
      <c r="AI198" s="235"/>
      <c r="AJ198" s="235"/>
      <c r="AK198" s="305">
        <f>AH198*AJ178</f>
        <v>0</v>
      </c>
      <c r="AL198" s="305"/>
      <c r="AM198" s="305">
        <f>IF(AK198&gt;0,AB178-AK198,0)</f>
        <v>0</v>
      </c>
      <c r="AN198" s="226"/>
      <c r="AY198" s="234">
        <f>IF((BA183+1)-BA198&lt;(BA183+1),(BA183+1)-BA198," ")</f>
        <v>16</v>
      </c>
      <c r="AZ198" s="235"/>
      <c r="BA198" s="235">
        <f t="shared" si="26"/>
        <v>9</v>
      </c>
      <c r="BB198" s="235"/>
      <c r="BC198" s="235">
        <f>BA198/((BA183+1)*(BA183/2))</f>
        <v>0.03</v>
      </c>
      <c r="BD198" s="235"/>
      <c r="BE198" s="235"/>
      <c r="BF198" s="305">
        <f>BC198*BE183</f>
        <v>0</v>
      </c>
      <c r="BG198" s="305"/>
      <c r="BH198" s="305">
        <f>IF(BF198&gt;0,AW183-BF198,0)</f>
        <v>0</v>
      </c>
      <c r="BI198" s="226"/>
    </row>
    <row r="199" spans="6:61" ht="12.75" hidden="1">
      <c r="F199" s="384" t="e">
        <f>C199*#REF!</f>
        <v>#REF!</v>
      </c>
      <c r="AD199" s="234">
        <f>IF((AF178+1)-AF199&lt;(AF178+1),(AF178+1)-AF199," ")</f>
        <v>22</v>
      </c>
      <c r="AE199" s="235"/>
      <c r="AF199" s="235">
        <f t="shared" si="25"/>
        <v>3</v>
      </c>
      <c r="AG199" s="235"/>
      <c r="AH199" s="235">
        <f>AF199/((AF178+1)*(AF178/2))</f>
        <v>0.01</v>
      </c>
      <c r="AI199" s="235"/>
      <c r="AJ199" s="235"/>
      <c r="AK199" s="305">
        <f>AH199*AJ178</f>
        <v>0</v>
      </c>
      <c r="AL199" s="305"/>
      <c r="AM199" s="305">
        <f>IF(AK199&gt;0,AB178-AK199,0)</f>
        <v>0</v>
      </c>
      <c r="AN199" s="226"/>
      <c r="AY199" s="234">
        <f>IF((BA183+1)-BA199&lt;(BA183+1),(BA183+1)-BA199," ")</f>
        <v>17</v>
      </c>
      <c r="AZ199" s="235"/>
      <c r="BA199" s="235">
        <f t="shared" si="26"/>
        <v>8</v>
      </c>
      <c r="BB199" s="235"/>
      <c r="BC199" s="235">
        <f>BA199/((BA183+1)*(BA183/2))</f>
        <v>0.02666666666666667</v>
      </c>
      <c r="BD199" s="235"/>
      <c r="BE199" s="235"/>
      <c r="BF199" s="305">
        <f>BC199*BE183</f>
        <v>0</v>
      </c>
      <c r="BG199" s="305"/>
      <c r="BH199" s="305">
        <f>IF(BF199&gt;0,AW183-BF199,0)</f>
        <v>0</v>
      </c>
      <c r="BI199" s="226"/>
    </row>
    <row r="200" spans="6:61" ht="12.75" hidden="1">
      <c r="F200" s="384" t="e">
        <f>C200*#REF!</f>
        <v>#REF!</v>
      </c>
      <c r="AD200" s="234">
        <f>IF((AF178+1)-AF200&lt;(AF178+1),(AF178+1)-AF200," ")</f>
        <v>23</v>
      </c>
      <c r="AE200" s="235"/>
      <c r="AF200" s="235">
        <f t="shared" si="25"/>
        <v>2</v>
      </c>
      <c r="AG200" s="235"/>
      <c r="AH200" s="235">
        <f>AF200/((AF178+1)*(AF178/2))</f>
        <v>0.006666666666666667</v>
      </c>
      <c r="AI200" s="235"/>
      <c r="AJ200" s="235"/>
      <c r="AK200" s="305">
        <f>AH200*AJ178</f>
        <v>0</v>
      </c>
      <c r="AL200" s="305"/>
      <c r="AM200" s="305">
        <f>IF(AK200&gt;0,AB178-AK200,0)</f>
        <v>0</v>
      </c>
      <c r="AN200" s="226"/>
      <c r="AY200" s="234">
        <f>IF((BA183+1)-BA200&lt;(BA183+1),(BA183+1)-BA200," ")</f>
        <v>18</v>
      </c>
      <c r="AZ200" s="235"/>
      <c r="BA200" s="235">
        <f t="shared" si="26"/>
        <v>7</v>
      </c>
      <c r="BB200" s="235"/>
      <c r="BC200" s="235">
        <f>BA200/((BA183+1)*(BA183/2))</f>
        <v>0.023333333333333334</v>
      </c>
      <c r="BD200" s="235"/>
      <c r="BE200" s="235"/>
      <c r="BF200" s="305">
        <f>BC200*BE183</f>
        <v>0</v>
      </c>
      <c r="BG200" s="305"/>
      <c r="BH200" s="305">
        <f>IF(BF200&gt;0,AW183-BF200,0)</f>
        <v>0</v>
      </c>
      <c r="BI200" s="226"/>
    </row>
    <row r="201" spans="6:61" ht="12.75" hidden="1">
      <c r="F201" s="384" t="e">
        <f>C201*#REF!</f>
        <v>#REF!</v>
      </c>
      <c r="AD201" s="234">
        <f>IF((AF178+1)-AF201&lt;(AF178+1),(AF178+1)-AF201," ")</f>
        <v>24</v>
      </c>
      <c r="AE201" s="235"/>
      <c r="AF201" s="235">
        <f t="shared" si="25"/>
        <v>1</v>
      </c>
      <c r="AG201" s="235"/>
      <c r="AH201" s="235">
        <f>AF201/((AF178+1)*(AF178/2))</f>
        <v>0.0033333333333333335</v>
      </c>
      <c r="AI201" s="235"/>
      <c r="AJ201" s="235"/>
      <c r="AK201" s="305">
        <f>AH201*AJ178</f>
        <v>0</v>
      </c>
      <c r="AL201" s="305"/>
      <c r="AM201" s="305">
        <f>IF(AK201&gt;0,AB178-AK201,0)</f>
        <v>0</v>
      </c>
      <c r="AN201" s="226"/>
      <c r="AY201" s="234">
        <f>IF((BA183+1)-BA201&lt;(BA183+1),(BA183+1)-BA201," ")</f>
        <v>19</v>
      </c>
      <c r="AZ201" s="235"/>
      <c r="BA201" s="235">
        <f t="shared" si="26"/>
        <v>6</v>
      </c>
      <c r="BB201" s="235"/>
      <c r="BC201" s="235">
        <f>BA201/((BA183+1)*(BA183/2))</f>
        <v>0.02</v>
      </c>
      <c r="BD201" s="235"/>
      <c r="BE201" s="235"/>
      <c r="BF201" s="305">
        <f>BC201*BE183</f>
        <v>0</v>
      </c>
      <c r="BG201" s="305"/>
      <c r="BH201" s="305">
        <f>IF(BF201&gt;0,AW183-BF201,0)</f>
        <v>0</v>
      </c>
      <c r="BI201" s="226"/>
    </row>
    <row r="202" spans="6:61" ht="12.75" hidden="1">
      <c r="F202" s="384" t="e">
        <f>C202*#REF!</f>
        <v>#REF!</v>
      </c>
      <c r="AD202" s="234" t="str">
        <f>IF((AF178+1)-AF202&lt;(AF178+1),(AF178+1)-AF202," ")</f>
        <v> </v>
      </c>
      <c r="AE202" s="235"/>
      <c r="AF202" s="235">
        <f t="shared" si="25"/>
        <v>0</v>
      </c>
      <c r="AG202" s="235"/>
      <c r="AH202" s="235">
        <f>AF202/((AF178+1)*(AF178/2))</f>
        <v>0</v>
      </c>
      <c r="AI202" s="235" t="s">
        <v>6</v>
      </c>
      <c r="AJ202" s="235"/>
      <c r="AK202" s="305">
        <f>AH202*AJ178</f>
        <v>0</v>
      </c>
      <c r="AL202" s="305"/>
      <c r="AM202" s="305">
        <f>IF(AK202&gt;0,AB178-AK202,0)</f>
        <v>0</v>
      </c>
      <c r="AN202" s="226"/>
      <c r="AY202" s="234">
        <f>IF((BA183+1)-BA202&lt;(BA183+1),(BA183+1)-BA202," ")</f>
        <v>20</v>
      </c>
      <c r="AZ202" s="235"/>
      <c r="BA202" s="235">
        <f t="shared" si="26"/>
        <v>5</v>
      </c>
      <c r="BB202" s="235"/>
      <c r="BC202" s="235">
        <f>BA202/((BA183+1)*(BA183/2))</f>
        <v>0.016666666666666666</v>
      </c>
      <c r="BD202" s="235"/>
      <c r="BE202" s="235"/>
      <c r="BF202" s="305">
        <f>BC202*BE183</f>
        <v>0</v>
      </c>
      <c r="BG202" s="305"/>
      <c r="BH202" s="305">
        <f>IF(BF202&gt;0,AW183-BF202,0)</f>
        <v>0</v>
      </c>
      <c r="BI202" s="226"/>
    </row>
    <row r="203" spans="6:61" ht="12.75" hidden="1">
      <c r="F203" s="384" t="e">
        <f>C203*#REF!</f>
        <v>#REF!</v>
      </c>
      <c r="AD203" s="234" t="str">
        <f>IF((AF178+1)-AF203&lt;(AF178+1),(AF178+1)-AF203," ")</f>
        <v> </v>
      </c>
      <c r="AE203" s="235"/>
      <c r="AF203" s="235">
        <f t="shared" si="25"/>
        <v>0</v>
      </c>
      <c r="AG203" s="235"/>
      <c r="AH203" s="235">
        <f>AF203/((AF178+1)*(AF178/2))</f>
        <v>0</v>
      </c>
      <c r="AI203" s="235"/>
      <c r="AJ203" s="235"/>
      <c r="AK203" s="305">
        <f>AH203*AJ178</f>
        <v>0</v>
      </c>
      <c r="AL203" s="305"/>
      <c r="AM203" s="305">
        <f>IF(AK203&gt;0,AB178-AK203,0)</f>
        <v>0</v>
      </c>
      <c r="AN203" s="226"/>
      <c r="AY203" s="234">
        <f>IF((BA183+1)-BA203&lt;(BA183+1),(BA183+1)-BA203," ")</f>
        <v>21</v>
      </c>
      <c r="AZ203" s="235"/>
      <c r="BA203" s="235">
        <f t="shared" si="26"/>
        <v>4</v>
      </c>
      <c r="BB203" s="235"/>
      <c r="BC203" s="235">
        <f>BA203/((BA183+1)*(BA183/2))</f>
        <v>0.013333333333333334</v>
      </c>
      <c r="BD203" s="235"/>
      <c r="BE203" s="235"/>
      <c r="BF203" s="305">
        <f>BC203*BE183</f>
        <v>0</v>
      </c>
      <c r="BG203" s="305"/>
      <c r="BH203" s="305">
        <f>IF(BF203&gt;0,AW183-BF203,0)</f>
        <v>0</v>
      </c>
      <c r="BI203" s="226"/>
    </row>
    <row r="204" spans="6:61" ht="12.75" hidden="1">
      <c r="F204" s="384" t="e">
        <f>C204*#REF!</f>
        <v>#REF!</v>
      </c>
      <c r="AD204" s="234" t="str">
        <f>IF((AF178+1)-AF204&lt;(AF178+1),(AF178+1)-AF204," ")</f>
        <v> </v>
      </c>
      <c r="AE204" s="235"/>
      <c r="AF204" s="235">
        <f t="shared" si="25"/>
        <v>0</v>
      </c>
      <c r="AG204" s="235"/>
      <c r="AH204" s="235">
        <f>AF204/((AF178+1)*(AF178/2))</f>
        <v>0</v>
      </c>
      <c r="AI204" s="235"/>
      <c r="AJ204" s="235"/>
      <c r="AK204" s="305">
        <f>AH204*AJ178</f>
        <v>0</v>
      </c>
      <c r="AL204" s="305"/>
      <c r="AM204" s="305">
        <f>IF(AK204&gt;0,AB178-AK204,0)</f>
        <v>0</v>
      </c>
      <c r="AN204" s="226"/>
      <c r="AY204" s="234">
        <f>IF((BA183+1)-BA204&lt;(BA183+1),(BA183+1)-BA204," ")</f>
        <v>22</v>
      </c>
      <c r="AZ204" s="235"/>
      <c r="BA204" s="235">
        <f t="shared" si="26"/>
        <v>3</v>
      </c>
      <c r="BB204" s="235"/>
      <c r="BC204" s="235">
        <f>BA204/((BA183+1)*(BA183/2))</f>
        <v>0.01</v>
      </c>
      <c r="BD204" s="235"/>
      <c r="BE204" s="235"/>
      <c r="BF204" s="305">
        <f>BC204*BE183</f>
        <v>0</v>
      </c>
      <c r="BG204" s="305"/>
      <c r="BH204" s="305">
        <f>IF(BF204&gt;0,AW183-BF204,0)</f>
        <v>0</v>
      </c>
      <c r="BI204" s="226"/>
    </row>
    <row r="205" spans="6:61" ht="12.75" hidden="1">
      <c r="F205" s="384" t="e">
        <f>C205*#REF!</f>
        <v>#REF!</v>
      </c>
      <c r="AD205" s="234" t="str">
        <f>IF((AF178+1)-AF205&lt;(AF178+1),(AF178+1)-AF205," ")</f>
        <v> </v>
      </c>
      <c r="AE205" s="235"/>
      <c r="AF205" s="235">
        <f t="shared" si="25"/>
        <v>0</v>
      </c>
      <c r="AG205" s="235"/>
      <c r="AH205" s="235">
        <f>AF205/((AF178+1)*(AF178/2))</f>
        <v>0</v>
      </c>
      <c r="AI205" s="235"/>
      <c r="AJ205" s="235"/>
      <c r="AK205" s="305">
        <f>AH205*AJ178</f>
        <v>0</v>
      </c>
      <c r="AL205" s="305"/>
      <c r="AM205" s="305">
        <f>IF(AK205&gt;0,AB178-AK205,0)</f>
        <v>0</v>
      </c>
      <c r="AN205" s="226"/>
      <c r="AY205" s="234">
        <f>IF((BA183+1)-BA205&lt;(BA183+1),(BA183+1)-BA205," ")</f>
        <v>23</v>
      </c>
      <c r="AZ205" s="235"/>
      <c r="BA205" s="235">
        <f t="shared" si="26"/>
        <v>2</v>
      </c>
      <c r="BB205" s="235"/>
      <c r="BC205" s="235">
        <f>BA205/((BA183+1)*(BA183/2))</f>
        <v>0.006666666666666667</v>
      </c>
      <c r="BD205" s="235"/>
      <c r="BE205" s="235"/>
      <c r="BF205" s="305">
        <f>BC205*BE183</f>
        <v>0</v>
      </c>
      <c r="BG205" s="305"/>
      <c r="BH205" s="305">
        <f>IF(BF205&gt;0,AW183-BF205,0)</f>
        <v>0</v>
      </c>
      <c r="BI205" s="226"/>
    </row>
    <row r="206" spans="6:61" ht="12.75" hidden="1">
      <c r="F206" s="384" t="e">
        <f>C206*#REF!</f>
        <v>#REF!</v>
      </c>
      <c r="AD206" s="234" t="str">
        <f>IF((AF178+1)-AF206&lt;(AF178+1),(AF178+1)-AF206," ")</f>
        <v> </v>
      </c>
      <c r="AE206" s="235"/>
      <c r="AF206" s="235">
        <f t="shared" si="25"/>
        <v>0</v>
      </c>
      <c r="AG206" s="235"/>
      <c r="AH206" s="235">
        <f>AF206/((AF178+1)*(AF178/2))</f>
        <v>0</v>
      </c>
      <c r="AI206" s="235"/>
      <c r="AJ206" s="235"/>
      <c r="AK206" s="305">
        <f>AH206*AJ178</f>
        <v>0</v>
      </c>
      <c r="AL206" s="305"/>
      <c r="AM206" s="305">
        <f>IF(AK206&gt;0,AB178-AK206,0)</f>
        <v>0</v>
      </c>
      <c r="AN206" s="226"/>
      <c r="AY206" s="234">
        <f>IF((BA183+1)-BA206&lt;(BA183+1),(BA183+1)-BA206," ")</f>
        <v>24</v>
      </c>
      <c r="AZ206" s="235"/>
      <c r="BA206" s="235">
        <f t="shared" si="26"/>
        <v>1</v>
      </c>
      <c r="BB206" s="235"/>
      <c r="BC206" s="235">
        <f>BA206/((BA183+1)*(BA183/2))</f>
        <v>0.0033333333333333335</v>
      </c>
      <c r="BD206" s="235"/>
      <c r="BE206" s="235"/>
      <c r="BF206" s="305">
        <f>BC206*BE183</f>
        <v>0</v>
      </c>
      <c r="BG206" s="305"/>
      <c r="BH206" s="305">
        <f>IF(BF206&gt;0,AW183-BF206,0)</f>
        <v>0</v>
      </c>
      <c r="BI206" s="226"/>
    </row>
    <row r="207" spans="6:61" ht="12.75" hidden="1">
      <c r="F207" s="384" t="e">
        <f>C207*#REF!</f>
        <v>#REF!</v>
      </c>
      <c r="AD207" s="234" t="str">
        <f>IF((AF178+1)-AF207&lt;(AF178+1),(AF178+1)-AF207," ")</f>
        <v> </v>
      </c>
      <c r="AE207" s="235"/>
      <c r="AF207" s="235">
        <f t="shared" si="25"/>
        <v>0</v>
      </c>
      <c r="AG207" s="235"/>
      <c r="AH207" s="235">
        <f>AF207/((AF178+1)*(AF178/2))</f>
        <v>0</v>
      </c>
      <c r="AI207" s="235"/>
      <c r="AJ207" s="235"/>
      <c r="AK207" s="305">
        <f>AH207*AJ178</f>
        <v>0</v>
      </c>
      <c r="AL207" s="305"/>
      <c r="AM207" s="305">
        <f>IF(AK207&gt;0,AB178-AK207,0)</f>
        <v>0</v>
      </c>
      <c r="AN207" s="226"/>
      <c r="AY207" s="234" t="str">
        <f>IF((BA183+1)-BA207&lt;(BA183+1),(BA183+1)-BA207," ")</f>
        <v> </v>
      </c>
      <c r="AZ207" s="235"/>
      <c r="BA207" s="235">
        <f t="shared" si="26"/>
        <v>0</v>
      </c>
      <c r="BB207" s="235"/>
      <c r="BC207" s="235">
        <f>BA207/((BA183+1)*(BA183/2))</f>
        <v>0</v>
      </c>
      <c r="BD207" s="235" t="s">
        <v>6</v>
      </c>
      <c r="BE207" s="235"/>
      <c r="BF207" s="305">
        <f>BC207*BE183</f>
        <v>0</v>
      </c>
      <c r="BG207" s="305"/>
      <c r="BH207" s="305">
        <f>IF(BF207&gt;0,AW183-BF207,0)</f>
        <v>0</v>
      </c>
      <c r="BI207" s="226"/>
    </row>
    <row r="208" spans="6:61" ht="12.75" hidden="1">
      <c r="F208" s="384" t="e">
        <f>C208*#REF!</f>
        <v>#REF!</v>
      </c>
      <c r="AD208" s="234" t="str">
        <f>IF((AF178+1)-AF208&lt;(AF178+1),(AF178+1)-AF208," ")</f>
        <v> </v>
      </c>
      <c r="AE208" s="235"/>
      <c r="AF208" s="235">
        <f t="shared" si="25"/>
        <v>0</v>
      </c>
      <c r="AG208" s="235"/>
      <c r="AH208" s="235">
        <f>AF208/((AF178+1)*(AF178/2))</f>
        <v>0</v>
      </c>
      <c r="AI208" s="235"/>
      <c r="AJ208" s="235"/>
      <c r="AK208" s="305">
        <f>AH208*AJ178</f>
        <v>0</v>
      </c>
      <c r="AL208" s="305"/>
      <c r="AM208" s="305">
        <f>IF(AK208&gt;0,AB178-AK208,0)</f>
        <v>0</v>
      </c>
      <c r="AN208" s="226"/>
      <c r="AY208" s="234" t="str">
        <f>IF((BA183+1)-BA208&lt;(BA183+1),(BA183+1)-BA208," ")</f>
        <v> </v>
      </c>
      <c r="AZ208" s="235"/>
      <c r="BA208" s="235">
        <f t="shared" si="26"/>
        <v>0</v>
      </c>
      <c r="BB208" s="235"/>
      <c r="BC208" s="235">
        <f>BA208/((BA183+1)*(BA183/2))</f>
        <v>0</v>
      </c>
      <c r="BD208" s="235"/>
      <c r="BE208" s="235"/>
      <c r="BF208" s="305">
        <f>BC208*BE183</f>
        <v>0</v>
      </c>
      <c r="BG208" s="305"/>
      <c r="BH208" s="305">
        <f>IF(BF208&gt;0,AW183-BF208,0)</f>
        <v>0</v>
      </c>
      <c r="BI208" s="226"/>
    </row>
    <row r="209" spans="6:61" ht="12.75" hidden="1">
      <c r="F209" s="384" t="e">
        <f>C209*#REF!</f>
        <v>#REF!</v>
      </c>
      <c r="AD209" s="234" t="str">
        <f>IF((AF178+1)-AF209&lt;(AF178+1),(AF178+1)-AF209," ")</f>
        <v> </v>
      </c>
      <c r="AE209" s="235"/>
      <c r="AF209" s="235">
        <f t="shared" si="25"/>
        <v>0</v>
      </c>
      <c r="AG209" s="235"/>
      <c r="AH209" s="235">
        <f>AF209/((AF178+1)*(AF178/2))</f>
        <v>0</v>
      </c>
      <c r="AI209" s="235"/>
      <c r="AJ209" s="235"/>
      <c r="AK209" s="305">
        <f>AH209*AJ178</f>
        <v>0</v>
      </c>
      <c r="AL209" s="305"/>
      <c r="AM209" s="305">
        <f>IF(AK209&gt;0,AB178-AK209,0)</f>
        <v>0</v>
      </c>
      <c r="AN209" s="226"/>
      <c r="AY209" s="234" t="str">
        <f>IF((BA183+1)-BA209&lt;(BA183+1),(BA183+1)-BA209," ")</f>
        <v> </v>
      </c>
      <c r="AZ209" s="235"/>
      <c r="BA209" s="235">
        <f t="shared" si="26"/>
        <v>0</v>
      </c>
      <c r="BB209" s="235"/>
      <c r="BC209" s="235">
        <f>BA209/((BA183+1)*(BA183/2))</f>
        <v>0</v>
      </c>
      <c r="BD209" s="235"/>
      <c r="BE209" s="235"/>
      <c r="BF209" s="305">
        <f>BC209*BE183</f>
        <v>0</v>
      </c>
      <c r="BG209" s="305"/>
      <c r="BH209" s="305">
        <f>IF(BF209&gt;0,AW183-BF209,0)</f>
        <v>0</v>
      </c>
      <c r="BI209" s="226"/>
    </row>
    <row r="210" spans="6:61" ht="12.75" hidden="1">
      <c r="F210" s="384" t="e">
        <f>C210*#REF!</f>
        <v>#REF!</v>
      </c>
      <c r="AD210" s="234" t="str">
        <f>IF((AF178+1)-AF210&lt;(AF178+1),(AF178+1)-AF210," ")</f>
        <v> </v>
      </c>
      <c r="AE210" s="235"/>
      <c r="AF210" s="235">
        <f t="shared" si="25"/>
        <v>0</v>
      </c>
      <c r="AG210" s="235"/>
      <c r="AH210" s="235">
        <f>AF210/((AF178+1)*(AF178/2))</f>
        <v>0</v>
      </c>
      <c r="AI210" s="235"/>
      <c r="AJ210" s="235"/>
      <c r="AK210" s="305">
        <f>AH210*AJ178</f>
        <v>0</v>
      </c>
      <c r="AL210" s="305"/>
      <c r="AM210" s="305">
        <f>IF(AK210&gt;0,AB178-AK210,0)</f>
        <v>0</v>
      </c>
      <c r="AN210" s="226"/>
      <c r="AY210" s="234" t="str">
        <f>IF((BA183+1)-BA210&lt;(BA183+1),(BA183+1)-BA210," ")</f>
        <v> </v>
      </c>
      <c r="AZ210" s="235"/>
      <c r="BA210" s="235">
        <f t="shared" si="26"/>
        <v>0</v>
      </c>
      <c r="BB210" s="235"/>
      <c r="BC210" s="235">
        <f>BA210/((BA183+1)*(BA183/2))</f>
        <v>0</v>
      </c>
      <c r="BD210" s="235"/>
      <c r="BE210" s="235"/>
      <c r="BF210" s="305">
        <f>BC210*BE183</f>
        <v>0</v>
      </c>
      <c r="BG210" s="305"/>
      <c r="BH210" s="305">
        <f>IF(BF210&gt;0,AW183-BF210,0)</f>
        <v>0</v>
      </c>
      <c r="BI210" s="226"/>
    </row>
    <row r="211" spans="6:61" ht="12.75" hidden="1">
      <c r="F211" s="384" t="e">
        <f>C211*#REF!</f>
        <v>#REF!</v>
      </c>
      <c r="AD211" s="234" t="str">
        <f>IF((AF178+1)-AF211&lt;(AF178+1),(AF178+1)-AF211," ")</f>
        <v> </v>
      </c>
      <c r="AE211" s="235"/>
      <c r="AF211" s="235">
        <f aca="true" t="shared" si="27" ref="AF211:AF238">IF(AF210-1&gt;0,AF210-1,0)</f>
        <v>0</v>
      </c>
      <c r="AG211" s="235"/>
      <c r="AH211" s="235">
        <f>AF211/((AF178+1)*(AF178/2))</f>
        <v>0</v>
      </c>
      <c r="AI211" s="235"/>
      <c r="AJ211" s="235"/>
      <c r="AK211" s="305">
        <f>AH211*AJ178</f>
        <v>0</v>
      </c>
      <c r="AL211" s="305"/>
      <c r="AM211" s="305">
        <f>IF(AK211&gt;0,AB178-AK211,0)</f>
        <v>0</v>
      </c>
      <c r="AN211" s="226"/>
      <c r="AY211" s="234" t="str">
        <f>IF((BA183+1)-BA211&lt;(BA183+1),(BA183+1)-BA211," ")</f>
        <v> </v>
      </c>
      <c r="AZ211" s="235"/>
      <c r="BA211" s="235">
        <f t="shared" si="26"/>
        <v>0</v>
      </c>
      <c r="BB211" s="235"/>
      <c r="BC211" s="235">
        <f>BA211/((BA183+1)*(BA183/2))</f>
        <v>0</v>
      </c>
      <c r="BD211" s="235"/>
      <c r="BE211" s="235"/>
      <c r="BF211" s="305">
        <f>BC211*BE183</f>
        <v>0</v>
      </c>
      <c r="BG211" s="305"/>
      <c r="BH211" s="305">
        <f>IF(BF211&gt;0,AW183-BF211,0)</f>
        <v>0</v>
      </c>
      <c r="BI211" s="226"/>
    </row>
    <row r="212" spans="6:61" ht="12.75" hidden="1">
      <c r="F212" s="384" t="e">
        <f>C212*#REF!</f>
        <v>#REF!</v>
      </c>
      <c r="AD212" s="234" t="str">
        <f>IF((AF178+1)-AF212&lt;(AF178+1),(AF178+1)-AF212," ")</f>
        <v> </v>
      </c>
      <c r="AE212" s="235"/>
      <c r="AF212" s="235">
        <f t="shared" si="27"/>
        <v>0</v>
      </c>
      <c r="AG212" s="235"/>
      <c r="AH212" s="235">
        <f>AF212/((AF178+1)*(AF178/2))</f>
        <v>0</v>
      </c>
      <c r="AI212" s="235"/>
      <c r="AJ212" s="235"/>
      <c r="AK212" s="305">
        <f>AH212*AJ178</f>
        <v>0</v>
      </c>
      <c r="AL212" s="305"/>
      <c r="AM212" s="305">
        <f>IF(AK212&gt;0,AB178-AK212,0)</f>
        <v>0</v>
      </c>
      <c r="AN212" s="226"/>
      <c r="AY212" s="234" t="str">
        <f>IF((BA183+1)-BA212&lt;(BA183+1),(BA183+1)-BA212," ")</f>
        <v> </v>
      </c>
      <c r="AZ212" s="235"/>
      <c r="BA212" s="235">
        <f t="shared" si="26"/>
        <v>0</v>
      </c>
      <c r="BB212" s="235"/>
      <c r="BC212" s="235">
        <f>BA212/((BA183+1)*(BA183/2))</f>
        <v>0</v>
      </c>
      <c r="BD212" s="235"/>
      <c r="BE212" s="235"/>
      <c r="BF212" s="305">
        <f>BC212*BE183</f>
        <v>0</v>
      </c>
      <c r="BG212" s="305"/>
      <c r="BH212" s="305">
        <f>IF(BF212&gt;0,AW183-BF212,0)</f>
        <v>0</v>
      </c>
      <c r="BI212" s="226"/>
    </row>
    <row r="213" spans="6:61" ht="12.75" hidden="1">
      <c r="F213" s="384" t="e">
        <f>C213*#REF!</f>
        <v>#REF!</v>
      </c>
      <c r="AD213" s="234" t="str">
        <f>IF((AF178+1)-AF213&lt;(AF178+1),(AF178+1)-AF213," ")</f>
        <v> </v>
      </c>
      <c r="AE213" s="235"/>
      <c r="AF213" s="235">
        <f t="shared" si="27"/>
        <v>0</v>
      </c>
      <c r="AG213" s="235"/>
      <c r="AH213" s="235">
        <f>AF213/((AF178+1)*(AF178/2))</f>
        <v>0</v>
      </c>
      <c r="AI213" s="235"/>
      <c r="AJ213" s="235"/>
      <c r="AK213" s="305">
        <f>AH213*AJ178</f>
        <v>0</v>
      </c>
      <c r="AL213" s="305"/>
      <c r="AM213" s="305">
        <f>IF(AK213&gt;0,AB178-AK213,0)</f>
        <v>0</v>
      </c>
      <c r="AN213" s="226"/>
      <c r="AY213" s="234" t="str">
        <f>IF((BA183+1)-BA213&lt;(BA183+1),(BA183+1)-BA213," ")</f>
        <v> </v>
      </c>
      <c r="AZ213" s="235"/>
      <c r="BA213" s="235">
        <f t="shared" si="26"/>
        <v>0</v>
      </c>
      <c r="BB213" s="235"/>
      <c r="BC213" s="235">
        <f>BA213/((BA183+1)*(BA183/2))</f>
        <v>0</v>
      </c>
      <c r="BD213" s="235"/>
      <c r="BE213" s="235"/>
      <c r="BF213" s="305">
        <f>BC213*BE183</f>
        <v>0</v>
      </c>
      <c r="BG213" s="305"/>
      <c r="BH213" s="305">
        <f>IF(BF213&gt;0,AW183-BF213,0)</f>
        <v>0</v>
      </c>
      <c r="BI213" s="226"/>
    </row>
    <row r="214" spans="6:61" ht="12.75" hidden="1">
      <c r="F214" s="384" t="e">
        <f>C214*#REF!</f>
        <v>#REF!</v>
      </c>
      <c r="AD214" s="234" t="str">
        <f>IF((AF178+1)-AF214&lt;(AF178+1),(AF178+1)-AF214," ")</f>
        <v> </v>
      </c>
      <c r="AE214" s="235"/>
      <c r="AF214" s="235">
        <f t="shared" si="27"/>
        <v>0</v>
      </c>
      <c r="AG214" s="235"/>
      <c r="AH214" s="235">
        <f>AF214/((AF178+1)*(AF178/2))</f>
        <v>0</v>
      </c>
      <c r="AI214" s="235"/>
      <c r="AJ214" s="235"/>
      <c r="AK214" s="305">
        <f>AH214*AJ178</f>
        <v>0</v>
      </c>
      <c r="AL214" s="305"/>
      <c r="AM214" s="305">
        <f>IF(AK214&gt;0,AB178-AK214,0)</f>
        <v>0</v>
      </c>
      <c r="AN214" s="226"/>
      <c r="AY214" s="234" t="str">
        <f>IF((BA183+1)-BA214&lt;(BA183+1),(BA183+1)-BA214," ")</f>
        <v> </v>
      </c>
      <c r="AZ214" s="235"/>
      <c r="BA214" s="235">
        <f t="shared" si="26"/>
        <v>0</v>
      </c>
      <c r="BB214" s="235"/>
      <c r="BC214" s="235">
        <f>BA214/((BA183+1)*(BA183/2))</f>
        <v>0</v>
      </c>
      <c r="BD214" s="235"/>
      <c r="BE214" s="235"/>
      <c r="BF214" s="305">
        <f>BC214*BE183</f>
        <v>0</v>
      </c>
      <c r="BG214" s="305"/>
      <c r="BH214" s="305">
        <f>IF(BF214&gt;0,AW183-BF214,0)</f>
        <v>0</v>
      </c>
      <c r="BI214" s="226"/>
    </row>
    <row r="215" spans="6:61" ht="12.75" hidden="1">
      <c r="F215" s="384" t="e">
        <f>C215*#REF!</f>
        <v>#REF!</v>
      </c>
      <c r="AD215" s="234" t="str">
        <f>IF((AF178+1)-AF215&lt;(AF178+1),(AF178+1)-AF215," ")</f>
        <v> </v>
      </c>
      <c r="AE215" s="235"/>
      <c r="AF215" s="235">
        <f t="shared" si="27"/>
        <v>0</v>
      </c>
      <c r="AG215" s="235"/>
      <c r="AH215" s="235">
        <f>AF215/((AF178+1)*(AF178/2))</f>
        <v>0</v>
      </c>
      <c r="AI215" s="235"/>
      <c r="AJ215" s="235"/>
      <c r="AK215" s="305">
        <f>AH215*AJ178</f>
        <v>0</v>
      </c>
      <c r="AL215" s="305"/>
      <c r="AM215" s="305">
        <f>IF(AK215&gt;0,AB178-AK215,0)</f>
        <v>0</v>
      </c>
      <c r="AN215" s="226"/>
      <c r="AY215" s="234" t="str">
        <f>IF((BA183+1)-BA215&lt;(BA183+1),(BA183+1)-BA215," ")</f>
        <v> </v>
      </c>
      <c r="AZ215" s="235"/>
      <c r="BA215" s="235">
        <f t="shared" si="26"/>
        <v>0</v>
      </c>
      <c r="BB215" s="235"/>
      <c r="BC215" s="235">
        <f>BA215/((BA183+1)*(BA183/2))</f>
        <v>0</v>
      </c>
      <c r="BD215" s="235"/>
      <c r="BE215" s="235"/>
      <c r="BF215" s="305">
        <f>BC215*BE183</f>
        <v>0</v>
      </c>
      <c r="BG215" s="305"/>
      <c r="BH215" s="305">
        <f>IF(BF215&gt;0,AW183-BF215,0)</f>
        <v>0</v>
      </c>
      <c r="BI215" s="226"/>
    </row>
    <row r="216" spans="6:61" ht="12.75" hidden="1">
      <c r="F216" s="384" t="e">
        <f>C216*#REF!</f>
        <v>#REF!</v>
      </c>
      <c r="AD216" s="234" t="str">
        <f>IF((AF178+1)-AF216&lt;(AF178+1),(AF178+1)-AF216," ")</f>
        <v> </v>
      </c>
      <c r="AE216" s="235"/>
      <c r="AF216" s="235">
        <f t="shared" si="27"/>
        <v>0</v>
      </c>
      <c r="AG216" s="235"/>
      <c r="AH216" s="235">
        <f>AF216/((AF178+1)*(AF178/2))</f>
        <v>0</v>
      </c>
      <c r="AI216" s="235"/>
      <c r="AJ216" s="235"/>
      <c r="AK216" s="305">
        <f>AH216*AJ178</f>
        <v>0</v>
      </c>
      <c r="AL216" s="305"/>
      <c r="AM216" s="305">
        <f>IF(AK216&gt;0,AB178-AK216,0)</f>
        <v>0</v>
      </c>
      <c r="AN216" s="226"/>
      <c r="AY216" s="234" t="str">
        <f>IF((BA183+1)-BA216&lt;(BA183+1),(BA183+1)-BA216," ")</f>
        <v> </v>
      </c>
      <c r="AZ216" s="235"/>
      <c r="BA216" s="235">
        <f aca="true" t="shared" si="28" ref="BA216:BA243">IF(BA215-1&gt;0,BA215-1,0)</f>
        <v>0</v>
      </c>
      <c r="BB216" s="235"/>
      <c r="BC216" s="235">
        <f>BA216/((BA183+1)*(BA183/2))</f>
        <v>0</v>
      </c>
      <c r="BD216" s="235"/>
      <c r="BE216" s="235"/>
      <c r="BF216" s="305">
        <f>BC216*BE183</f>
        <v>0</v>
      </c>
      <c r="BG216" s="305"/>
      <c r="BH216" s="305">
        <f>IF(BF216&gt;0,AW183-BF216,0)</f>
        <v>0</v>
      </c>
      <c r="BI216" s="226"/>
    </row>
    <row r="217" spans="6:61" ht="12.75" hidden="1">
      <c r="F217" s="384" t="e">
        <f>C217*#REF!</f>
        <v>#REF!</v>
      </c>
      <c r="AD217" s="234" t="str">
        <f>IF((AF178+1)-AF217&lt;(AF178+1),(AF178+1)-AF217," ")</f>
        <v> </v>
      </c>
      <c r="AE217" s="235"/>
      <c r="AF217" s="235">
        <f t="shared" si="27"/>
        <v>0</v>
      </c>
      <c r="AG217" s="235"/>
      <c r="AH217" s="235">
        <f>AF217/((AF178+1)*(AF178/2))</f>
        <v>0</v>
      </c>
      <c r="AI217" s="235"/>
      <c r="AJ217" s="235"/>
      <c r="AK217" s="305">
        <f>AH217*AJ178</f>
        <v>0</v>
      </c>
      <c r="AL217" s="305"/>
      <c r="AM217" s="305">
        <f>IF(AK217&gt;0,AB178-AK217,0)</f>
        <v>0</v>
      </c>
      <c r="AN217" s="226"/>
      <c r="AY217" s="234" t="str">
        <f>IF((BA183+1)-BA217&lt;(BA183+1),(BA183+1)-BA217," ")</f>
        <v> </v>
      </c>
      <c r="AZ217" s="235"/>
      <c r="BA217" s="235">
        <f t="shared" si="28"/>
        <v>0</v>
      </c>
      <c r="BB217" s="235"/>
      <c r="BC217" s="235">
        <f>BA217/((BA183+1)*(BA183/2))</f>
        <v>0</v>
      </c>
      <c r="BD217" s="235"/>
      <c r="BE217" s="235"/>
      <c r="BF217" s="305">
        <f>BC217*BE183</f>
        <v>0</v>
      </c>
      <c r="BG217" s="305"/>
      <c r="BH217" s="305">
        <f>IF(BF217&gt;0,AW183-BF217,0)</f>
        <v>0</v>
      </c>
      <c r="BI217" s="226"/>
    </row>
    <row r="218" spans="6:61" ht="12.75" hidden="1">
      <c r="F218" s="384" t="e">
        <f>C218*#REF!</f>
        <v>#REF!</v>
      </c>
      <c r="AD218" s="234" t="str">
        <f>IF((AF178+1)-AF218&lt;(AF178+1),(AF178+1)-AF218," ")</f>
        <v> </v>
      </c>
      <c r="AE218" s="235"/>
      <c r="AF218" s="235">
        <f t="shared" si="27"/>
        <v>0</v>
      </c>
      <c r="AG218" s="235"/>
      <c r="AH218" s="235">
        <f>AF218/((AF178+1)*(AF178/2))</f>
        <v>0</v>
      </c>
      <c r="AI218" s="235"/>
      <c r="AJ218" s="235"/>
      <c r="AK218" s="305">
        <f>AH218*AJ178</f>
        <v>0</v>
      </c>
      <c r="AL218" s="305"/>
      <c r="AM218" s="305">
        <f>IF(AK218&gt;0,AB178-AK218,0)</f>
        <v>0</v>
      </c>
      <c r="AN218" s="226"/>
      <c r="AY218" s="234" t="str">
        <f>IF((BA183+1)-BA218&lt;(BA183+1),(BA183+1)-BA218," ")</f>
        <v> </v>
      </c>
      <c r="AZ218" s="235"/>
      <c r="BA218" s="235">
        <f t="shared" si="28"/>
        <v>0</v>
      </c>
      <c r="BB218" s="235"/>
      <c r="BC218" s="235">
        <f>BA218/((BA183+1)*(BA183/2))</f>
        <v>0</v>
      </c>
      <c r="BD218" s="235"/>
      <c r="BE218" s="235"/>
      <c r="BF218" s="305">
        <f>BC218*BE183</f>
        <v>0</v>
      </c>
      <c r="BG218" s="305"/>
      <c r="BH218" s="305">
        <f>IF(BF218&gt;0,AW183-BF218,0)</f>
        <v>0</v>
      </c>
      <c r="BI218" s="226"/>
    </row>
    <row r="219" spans="6:61" ht="12.75" hidden="1">
      <c r="F219" s="384" t="e">
        <f>C219*#REF!</f>
        <v>#REF!</v>
      </c>
      <c r="AD219" s="234" t="str">
        <f>IF((AF178+1)-AF219&lt;(AF178+1),(AF178+1)-AF219," ")</f>
        <v> </v>
      </c>
      <c r="AE219" s="235"/>
      <c r="AF219" s="235">
        <f t="shared" si="27"/>
        <v>0</v>
      </c>
      <c r="AG219" s="235"/>
      <c r="AH219" s="235">
        <f>AF219/((AF178+1)*(AF178/2))</f>
        <v>0</v>
      </c>
      <c r="AI219" s="235"/>
      <c r="AJ219" s="235"/>
      <c r="AK219" s="305">
        <f>AH219*AJ178</f>
        <v>0</v>
      </c>
      <c r="AL219" s="305"/>
      <c r="AM219" s="305">
        <f>IF(AK219&gt;0,AB178-AK219,0)</f>
        <v>0</v>
      </c>
      <c r="AN219" s="226"/>
      <c r="AY219" s="234" t="str">
        <f>IF((BA183+1)-BA219&lt;(BA183+1),(BA183+1)-BA219," ")</f>
        <v> </v>
      </c>
      <c r="AZ219" s="235"/>
      <c r="BA219" s="235">
        <f t="shared" si="28"/>
        <v>0</v>
      </c>
      <c r="BB219" s="235"/>
      <c r="BC219" s="235">
        <f>BA219/((BA183+1)*(BA183/2))</f>
        <v>0</v>
      </c>
      <c r="BD219" s="235"/>
      <c r="BE219" s="235"/>
      <c r="BF219" s="305">
        <f>BC219*BE183</f>
        <v>0</v>
      </c>
      <c r="BG219" s="305"/>
      <c r="BH219" s="305">
        <f>IF(BF219&gt;0,AW183-BF219,0)</f>
        <v>0</v>
      </c>
      <c r="BI219" s="226"/>
    </row>
    <row r="220" spans="6:61" ht="12.75" hidden="1">
      <c r="F220" s="384" t="e">
        <f>C220*#REF!</f>
        <v>#REF!</v>
      </c>
      <c r="AD220" s="234" t="str">
        <f>IF((AF178+1)-AF220&lt;(AF178+1),(AF178+1)-AF220," ")</f>
        <v> </v>
      </c>
      <c r="AE220" s="235"/>
      <c r="AF220" s="235">
        <f t="shared" si="27"/>
        <v>0</v>
      </c>
      <c r="AG220" s="235"/>
      <c r="AH220" s="235">
        <f>AF220/((AF178+1)*(AF178/2))</f>
        <v>0</v>
      </c>
      <c r="AI220" s="235"/>
      <c r="AJ220" s="235"/>
      <c r="AK220" s="305">
        <f>AH220*AJ178</f>
        <v>0</v>
      </c>
      <c r="AL220" s="305"/>
      <c r="AM220" s="305">
        <f>IF(AK220&gt;0,AB178-AK220,0)</f>
        <v>0</v>
      </c>
      <c r="AN220" s="226"/>
      <c r="AY220" s="234" t="str">
        <f>IF((BA183+1)-BA220&lt;(BA183+1),(BA183+1)-BA220," ")</f>
        <v> </v>
      </c>
      <c r="AZ220" s="235"/>
      <c r="BA220" s="235">
        <f t="shared" si="28"/>
        <v>0</v>
      </c>
      <c r="BB220" s="235"/>
      <c r="BC220" s="235">
        <f>BA220/((BA183+1)*(BA183/2))</f>
        <v>0</v>
      </c>
      <c r="BD220" s="235"/>
      <c r="BE220" s="235"/>
      <c r="BF220" s="305">
        <f>BC220*BE183</f>
        <v>0</v>
      </c>
      <c r="BG220" s="305"/>
      <c r="BH220" s="305">
        <f>IF(BF220&gt;0,AW183-BF220,0)</f>
        <v>0</v>
      </c>
      <c r="BI220" s="226"/>
    </row>
    <row r="221" spans="6:61" ht="12.75" hidden="1">
      <c r="F221" s="384" t="e">
        <f>C221*#REF!</f>
        <v>#REF!</v>
      </c>
      <c r="AD221" s="234" t="str">
        <f>IF((AF178+1)-AF221&lt;(AF178+1),(AF178+1)-AF221," ")</f>
        <v> </v>
      </c>
      <c r="AE221" s="235"/>
      <c r="AF221" s="235">
        <f t="shared" si="27"/>
        <v>0</v>
      </c>
      <c r="AG221" s="235"/>
      <c r="AH221" s="235">
        <f>AF221/((AF178+1)*(AF178/2))</f>
        <v>0</v>
      </c>
      <c r="AI221" s="235"/>
      <c r="AJ221" s="235"/>
      <c r="AK221" s="305">
        <f>AH221*AJ178</f>
        <v>0</v>
      </c>
      <c r="AL221" s="305"/>
      <c r="AM221" s="305">
        <f>IF(AK221&gt;0,AB178-AK221,0)</f>
        <v>0</v>
      </c>
      <c r="AN221" s="226"/>
      <c r="AY221" s="234" t="str">
        <f>IF((BA183+1)-BA221&lt;(BA183+1),(BA183+1)-BA221," ")</f>
        <v> </v>
      </c>
      <c r="AZ221" s="235"/>
      <c r="BA221" s="235">
        <f t="shared" si="28"/>
        <v>0</v>
      </c>
      <c r="BB221" s="235"/>
      <c r="BC221" s="235">
        <f>BA221/((BA183+1)*(BA183/2))</f>
        <v>0</v>
      </c>
      <c r="BD221" s="235"/>
      <c r="BE221" s="235"/>
      <c r="BF221" s="305">
        <f>BC221*BE183</f>
        <v>0</v>
      </c>
      <c r="BG221" s="305"/>
      <c r="BH221" s="305">
        <f>IF(BF221&gt;0,AW183-BF221,0)</f>
        <v>0</v>
      </c>
      <c r="BI221" s="226"/>
    </row>
    <row r="222" spans="6:61" ht="12.75" hidden="1">
      <c r="F222" s="384" t="e">
        <f>C222*#REF!</f>
        <v>#REF!</v>
      </c>
      <c r="AD222" s="234" t="str">
        <f>IF((AF178+1)-AF222&lt;(AF178+1),(AF178+1)-AF222," ")</f>
        <v> </v>
      </c>
      <c r="AE222" s="235"/>
      <c r="AF222" s="235">
        <f t="shared" si="27"/>
        <v>0</v>
      </c>
      <c r="AG222" s="235"/>
      <c r="AH222" s="235">
        <f>AF222/((AF178+1)*(AF178/2))</f>
        <v>0</v>
      </c>
      <c r="AI222" s="235"/>
      <c r="AJ222" s="235"/>
      <c r="AK222" s="305">
        <f>AH222*AJ178</f>
        <v>0</v>
      </c>
      <c r="AL222" s="305"/>
      <c r="AM222" s="305">
        <f>IF(AK222&gt;0,AB178-AK222,0)</f>
        <v>0</v>
      </c>
      <c r="AN222" s="226"/>
      <c r="AY222" s="234" t="str">
        <f>IF((BA183+1)-BA222&lt;(BA183+1),(BA183+1)-BA222," ")</f>
        <v> </v>
      </c>
      <c r="AZ222" s="235"/>
      <c r="BA222" s="235">
        <f t="shared" si="28"/>
        <v>0</v>
      </c>
      <c r="BB222" s="235"/>
      <c r="BC222" s="235">
        <f>BA222/((BA183+1)*(BA183/2))</f>
        <v>0</v>
      </c>
      <c r="BD222" s="235"/>
      <c r="BE222" s="235"/>
      <c r="BF222" s="305">
        <f>BC222*BE183</f>
        <v>0</v>
      </c>
      <c r="BG222" s="305"/>
      <c r="BH222" s="305">
        <f>IF(BF222&gt;0,AW183-BF222,0)</f>
        <v>0</v>
      </c>
      <c r="BI222" s="226"/>
    </row>
    <row r="223" spans="6:61" ht="12.75" hidden="1">
      <c r="F223" s="384" t="e">
        <f>C223*#REF!</f>
        <v>#REF!</v>
      </c>
      <c r="AD223" s="234" t="str">
        <f>IF((AF178+1)-AF223&lt;(AF178+1),(AF178+1)-AF223," ")</f>
        <v> </v>
      </c>
      <c r="AE223" s="235"/>
      <c r="AF223" s="235">
        <f t="shared" si="27"/>
        <v>0</v>
      </c>
      <c r="AG223" s="235"/>
      <c r="AH223" s="235">
        <f>AF223/((AF178+1)*(AF178/2))</f>
        <v>0</v>
      </c>
      <c r="AI223" s="235"/>
      <c r="AJ223" s="235"/>
      <c r="AK223" s="305">
        <f>AH223*AJ178</f>
        <v>0</v>
      </c>
      <c r="AL223" s="305"/>
      <c r="AM223" s="305">
        <f>IF(AK223&gt;0,AB178-AK223,0)</f>
        <v>0</v>
      </c>
      <c r="AN223" s="226"/>
      <c r="AY223" s="234" t="str">
        <f>IF((BA183+1)-BA223&lt;(BA183+1),(BA183+1)-BA223," ")</f>
        <v> </v>
      </c>
      <c r="AZ223" s="235"/>
      <c r="BA223" s="235">
        <f t="shared" si="28"/>
        <v>0</v>
      </c>
      <c r="BB223" s="235"/>
      <c r="BC223" s="235">
        <f>BA223/((BA183+1)*(BA183/2))</f>
        <v>0</v>
      </c>
      <c r="BD223" s="235"/>
      <c r="BE223" s="235"/>
      <c r="BF223" s="305">
        <f>BC223*BE183</f>
        <v>0</v>
      </c>
      <c r="BG223" s="305"/>
      <c r="BH223" s="305">
        <f>IF(BF223&gt;0,AW183-BF223,0)</f>
        <v>0</v>
      </c>
      <c r="BI223" s="226"/>
    </row>
    <row r="224" spans="6:61" ht="12.75" hidden="1">
      <c r="F224" s="384" t="e">
        <f>C224*#REF!</f>
        <v>#REF!</v>
      </c>
      <c r="AD224" s="234" t="str">
        <f>IF((AF178+1)-AF224&lt;(AF178+1),(AF178+1)-AF224," ")</f>
        <v> </v>
      </c>
      <c r="AE224" s="235"/>
      <c r="AF224" s="235">
        <f t="shared" si="27"/>
        <v>0</v>
      </c>
      <c r="AG224" s="235"/>
      <c r="AH224" s="235">
        <f>AF224/((AF178+1)*(AF178/2))</f>
        <v>0</v>
      </c>
      <c r="AI224" s="235"/>
      <c r="AJ224" s="235"/>
      <c r="AK224" s="305">
        <f>AH224*AJ178</f>
        <v>0</v>
      </c>
      <c r="AL224" s="305"/>
      <c r="AM224" s="305">
        <f>IF(AK224&gt;0,AB178-AK224,0)</f>
        <v>0</v>
      </c>
      <c r="AN224" s="226"/>
      <c r="AY224" s="234" t="str">
        <f>IF((BA183+1)-BA224&lt;(BA183+1),(BA183+1)-BA224," ")</f>
        <v> </v>
      </c>
      <c r="AZ224" s="235"/>
      <c r="BA224" s="235">
        <f t="shared" si="28"/>
        <v>0</v>
      </c>
      <c r="BB224" s="235"/>
      <c r="BC224" s="235">
        <f>BA224/((BA183+1)*(BA183/2))</f>
        <v>0</v>
      </c>
      <c r="BD224" s="235"/>
      <c r="BE224" s="235"/>
      <c r="BF224" s="305">
        <f>BC224*BE183</f>
        <v>0</v>
      </c>
      <c r="BG224" s="305"/>
      <c r="BH224" s="305">
        <f>IF(BF224&gt;0,AW183-BF224,0)</f>
        <v>0</v>
      </c>
      <c r="BI224" s="226"/>
    </row>
    <row r="225" spans="6:61" ht="12.75" hidden="1">
      <c r="F225" s="384" t="e">
        <f>C225*#REF!</f>
        <v>#REF!</v>
      </c>
      <c r="AD225" s="234" t="str">
        <f>IF((AF178+1)-AF225&lt;(AF178+1),(AF178+1)-AF225," ")</f>
        <v> </v>
      </c>
      <c r="AE225" s="235"/>
      <c r="AF225" s="235">
        <f t="shared" si="27"/>
        <v>0</v>
      </c>
      <c r="AG225" s="235"/>
      <c r="AH225" s="235">
        <f>AF225/((AF178+1)*(AF178/2))</f>
        <v>0</v>
      </c>
      <c r="AI225" s="235"/>
      <c r="AJ225" s="235"/>
      <c r="AK225" s="305">
        <f>AH225*AJ178</f>
        <v>0</v>
      </c>
      <c r="AL225" s="305"/>
      <c r="AM225" s="305">
        <f>IF(AK225&gt;0,AB178-AK225,0)</f>
        <v>0</v>
      </c>
      <c r="AN225" s="226"/>
      <c r="AY225" s="234" t="str">
        <f>IF((BA183+1)-BA225&lt;(BA183+1),(BA183+1)-BA225," ")</f>
        <v> </v>
      </c>
      <c r="AZ225" s="235"/>
      <c r="BA225" s="235">
        <f t="shared" si="28"/>
        <v>0</v>
      </c>
      <c r="BB225" s="235"/>
      <c r="BC225" s="235">
        <f>BA225/((BA183+1)*(BA183/2))</f>
        <v>0</v>
      </c>
      <c r="BD225" s="235"/>
      <c r="BE225" s="235"/>
      <c r="BF225" s="305">
        <f>BC225*BE183</f>
        <v>0</v>
      </c>
      <c r="BG225" s="305"/>
      <c r="BH225" s="305">
        <f>IF(BF225&gt;0,AW183-BF225,0)</f>
        <v>0</v>
      </c>
      <c r="BI225" s="226"/>
    </row>
    <row r="226" spans="6:61" ht="12.75" hidden="1">
      <c r="F226" s="384" t="e">
        <f>C226*#REF!</f>
        <v>#REF!</v>
      </c>
      <c r="AD226" s="234" t="str">
        <f>IF((AF178+1)-AF226&lt;(AF178+1),(AF178+1)-AF226," ")</f>
        <v> </v>
      </c>
      <c r="AE226" s="235"/>
      <c r="AF226" s="235">
        <f t="shared" si="27"/>
        <v>0</v>
      </c>
      <c r="AG226" s="235"/>
      <c r="AH226" s="235">
        <f>AF226/((AF178+1)*(AF178/2))</f>
        <v>0</v>
      </c>
      <c r="AI226" s="235"/>
      <c r="AJ226" s="235"/>
      <c r="AK226" s="305">
        <f>AH226*AJ178</f>
        <v>0</v>
      </c>
      <c r="AL226" s="305"/>
      <c r="AM226" s="305">
        <f>IF(AK226&gt;0,AB178-AK226,0)</f>
        <v>0</v>
      </c>
      <c r="AN226" s="226"/>
      <c r="AY226" s="234" t="str">
        <f>IF((BA183+1)-BA226&lt;(BA183+1),(BA183+1)-BA226," ")</f>
        <v> </v>
      </c>
      <c r="AZ226" s="235"/>
      <c r="BA226" s="235">
        <f t="shared" si="28"/>
        <v>0</v>
      </c>
      <c r="BB226" s="235"/>
      <c r="BC226" s="235">
        <f>BA226/((BA183+1)*(BA183/2))</f>
        <v>0</v>
      </c>
      <c r="BD226" s="235"/>
      <c r="BE226" s="235"/>
      <c r="BF226" s="305">
        <f>BC226*BE183</f>
        <v>0</v>
      </c>
      <c r="BG226" s="305"/>
      <c r="BH226" s="305">
        <f>IF(BF226&gt;0,AW183-BF226,0)</f>
        <v>0</v>
      </c>
      <c r="BI226" s="226"/>
    </row>
    <row r="227" spans="6:61" ht="12.75" hidden="1">
      <c r="F227" s="384" t="e">
        <f>C227*#REF!</f>
        <v>#REF!</v>
      </c>
      <c r="AD227" s="234" t="str">
        <f>IF((AF178+1)-AF227&lt;(AF178+1),(AF178+1)-AF227," ")</f>
        <v> </v>
      </c>
      <c r="AE227" s="235"/>
      <c r="AF227" s="235">
        <f t="shared" si="27"/>
        <v>0</v>
      </c>
      <c r="AG227" s="235"/>
      <c r="AH227" s="235">
        <f>AF227/((AF178+1)*(AF178/2))</f>
        <v>0</v>
      </c>
      <c r="AI227" s="235"/>
      <c r="AJ227" s="235"/>
      <c r="AK227" s="305">
        <f>AH227*AJ178</f>
        <v>0</v>
      </c>
      <c r="AL227" s="305"/>
      <c r="AM227" s="305">
        <f>IF(AK227&gt;0,AB178-AK227,0)</f>
        <v>0</v>
      </c>
      <c r="AN227" s="226"/>
      <c r="AY227" s="234" t="str">
        <f>IF((BA183+1)-BA227&lt;(BA183+1),(BA183+1)-BA227," ")</f>
        <v> </v>
      </c>
      <c r="AZ227" s="235"/>
      <c r="BA227" s="235">
        <f t="shared" si="28"/>
        <v>0</v>
      </c>
      <c r="BB227" s="235"/>
      <c r="BC227" s="235">
        <f>BA227/((BA183+1)*(BA183/2))</f>
        <v>0</v>
      </c>
      <c r="BD227" s="235"/>
      <c r="BE227" s="235"/>
      <c r="BF227" s="305">
        <f>BC227*BE183</f>
        <v>0</v>
      </c>
      <c r="BG227" s="305"/>
      <c r="BH227" s="305">
        <f>IF(BF227&gt;0,AW183-BF227,0)</f>
        <v>0</v>
      </c>
      <c r="BI227" s="226"/>
    </row>
    <row r="228" spans="6:61" ht="12.75" hidden="1">
      <c r="F228" s="384" t="e">
        <f>C228*#REF!</f>
        <v>#REF!</v>
      </c>
      <c r="AD228" s="234" t="str">
        <f>IF((AF178+1)-AF228&lt;(AF178+1),(AF178+1)-AF228," ")</f>
        <v> </v>
      </c>
      <c r="AE228" s="235"/>
      <c r="AF228" s="235">
        <f t="shared" si="27"/>
        <v>0</v>
      </c>
      <c r="AG228" s="235"/>
      <c r="AH228" s="235">
        <f>AF228/((AF178+1)*(AF178/2))</f>
        <v>0</v>
      </c>
      <c r="AI228" s="235"/>
      <c r="AJ228" s="235"/>
      <c r="AK228" s="305">
        <f>AH228*AJ178</f>
        <v>0</v>
      </c>
      <c r="AL228" s="305"/>
      <c r="AM228" s="305">
        <f>IF(AK228&gt;0,AB178-AK228,0)</f>
        <v>0</v>
      </c>
      <c r="AN228" s="226"/>
      <c r="AY228" s="234" t="str">
        <f>IF((BA183+1)-BA228&lt;(BA183+1),(BA183+1)-BA228," ")</f>
        <v> </v>
      </c>
      <c r="AZ228" s="235"/>
      <c r="BA228" s="235">
        <f t="shared" si="28"/>
        <v>0</v>
      </c>
      <c r="BB228" s="235"/>
      <c r="BC228" s="235">
        <f>BA228/((BA183+1)*(BA183/2))</f>
        <v>0</v>
      </c>
      <c r="BD228" s="235"/>
      <c r="BE228" s="235"/>
      <c r="BF228" s="305">
        <f>BC228*BE183</f>
        <v>0</v>
      </c>
      <c r="BG228" s="305"/>
      <c r="BH228" s="305">
        <f>IF(BF228&gt;0,AW183-BF228,0)</f>
        <v>0</v>
      </c>
      <c r="BI228" s="226"/>
    </row>
    <row r="229" spans="6:61" ht="12.75" hidden="1">
      <c r="F229" s="384" t="e">
        <f>C229*#REF!</f>
        <v>#REF!</v>
      </c>
      <c r="AD229" s="234" t="str">
        <f>IF((AF178+1)-AF229&lt;(AF178+1),(AF178+1)-AF229," ")</f>
        <v> </v>
      </c>
      <c r="AE229" s="235"/>
      <c r="AF229" s="235">
        <f t="shared" si="27"/>
        <v>0</v>
      </c>
      <c r="AG229" s="235"/>
      <c r="AH229" s="235">
        <f>AF229/((AF178+1)*(AF178/2))</f>
        <v>0</v>
      </c>
      <c r="AI229" s="235"/>
      <c r="AJ229" s="235"/>
      <c r="AK229" s="305">
        <f>AH229*AJ178</f>
        <v>0</v>
      </c>
      <c r="AL229" s="305"/>
      <c r="AM229" s="305">
        <f>IF(AK229&gt;0,AB178-AK229,0)</f>
        <v>0</v>
      </c>
      <c r="AN229" s="226"/>
      <c r="AY229" s="234" t="str">
        <f>IF((BA183+1)-BA229&lt;(BA183+1),(BA183+1)-BA229," ")</f>
        <v> </v>
      </c>
      <c r="AZ229" s="235"/>
      <c r="BA229" s="235">
        <f t="shared" si="28"/>
        <v>0</v>
      </c>
      <c r="BB229" s="235"/>
      <c r="BC229" s="235">
        <f>BA229/((BA183+1)*(BA183/2))</f>
        <v>0</v>
      </c>
      <c r="BD229" s="235"/>
      <c r="BE229" s="235"/>
      <c r="BF229" s="305">
        <f>BC229*BE183</f>
        <v>0</v>
      </c>
      <c r="BG229" s="305"/>
      <c r="BH229" s="305">
        <f>IF(BF229&gt;0,AW183-BF229,0)</f>
        <v>0</v>
      </c>
      <c r="BI229" s="226"/>
    </row>
    <row r="230" spans="6:61" ht="12.75" hidden="1">
      <c r="F230" s="384" t="e">
        <f>C230*#REF!</f>
        <v>#REF!</v>
      </c>
      <c r="AD230" s="234" t="str">
        <f>IF((AF178+1)-AF230&lt;(AF178+1),(AF178+1)-AF230," ")</f>
        <v> </v>
      </c>
      <c r="AE230" s="235"/>
      <c r="AF230" s="235">
        <f t="shared" si="27"/>
        <v>0</v>
      </c>
      <c r="AG230" s="235"/>
      <c r="AH230" s="235">
        <f>AF230/((AF178+1)*(AF178/2))</f>
        <v>0</v>
      </c>
      <c r="AI230" s="235"/>
      <c r="AJ230" s="235"/>
      <c r="AK230" s="305">
        <f>AH230*AJ178</f>
        <v>0</v>
      </c>
      <c r="AL230" s="305"/>
      <c r="AM230" s="305">
        <f>IF(AK230&gt;0,AB178-AK230,0)</f>
        <v>0</v>
      </c>
      <c r="AN230" s="226"/>
      <c r="AY230" s="234" t="str">
        <f>IF((BA183+1)-BA230&lt;(BA183+1),(BA183+1)-BA230," ")</f>
        <v> </v>
      </c>
      <c r="AZ230" s="235"/>
      <c r="BA230" s="235">
        <f t="shared" si="28"/>
        <v>0</v>
      </c>
      <c r="BB230" s="235"/>
      <c r="BC230" s="235">
        <f>BA230/((BA183+1)*(BA183/2))</f>
        <v>0</v>
      </c>
      <c r="BD230" s="235"/>
      <c r="BE230" s="235"/>
      <c r="BF230" s="305">
        <f>BC230*BE183</f>
        <v>0</v>
      </c>
      <c r="BG230" s="305"/>
      <c r="BH230" s="305">
        <f>IF(BF230&gt;0,AW183-BF230,0)</f>
        <v>0</v>
      </c>
      <c r="BI230" s="226"/>
    </row>
    <row r="231" spans="6:61" ht="12.75" hidden="1">
      <c r="F231" s="384" t="e">
        <f>C231*#REF!</f>
        <v>#REF!</v>
      </c>
      <c r="AD231" s="234" t="str">
        <f>IF((AF178+1)-AF231&lt;(AF178+1),(AF178+1)-AF231," ")</f>
        <v> </v>
      </c>
      <c r="AE231" s="235"/>
      <c r="AF231" s="235">
        <f t="shared" si="27"/>
        <v>0</v>
      </c>
      <c r="AG231" s="235"/>
      <c r="AH231" s="235">
        <f>AF231/((AF178+1)*(AF178/2))</f>
        <v>0</v>
      </c>
      <c r="AI231" s="235"/>
      <c r="AJ231" s="235"/>
      <c r="AK231" s="305">
        <f>AH231*AJ178</f>
        <v>0</v>
      </c>
      <c r="AL231" s="305"/>
      <c r="AM231" s="305">
        <f>IF(AK231&gt;0,AB178-AK231,0)</f>
        <v>0</v>
      </c>
      <c r="AN231" s="226"/>
      <c r="AY231" s="234" t="str">
        <f>IF((BA183+1)-BA231&lt;(BA183+1),(BA183+1)-BA231," ")</f>
        <v> </v>
      </c>
      <c r="AZ231" s="235"/>
      <c r="BA231" s="235">
        <f t="shared" si="28"/>
        <v>0</v>
      </c>
      <c r="BB231" s="235"/>
      <c r="BC231" s="235">
        <f>BA231/((BA183+1)*(BA183/2))</f>
        <v>0</v>
      </c>
      <c r="BD231" s="235"/>
      <c r="BE231" s="235"/>
      <c r="BF231" s="305">
        <f>BC231*BE183</f>
        <v>0</v>
      </c>
      <c r="BG231" s="305"/>
      <c r="BH231" s="305">
        <f>IF(BF231&gt;0,AW183-BF231,0)</f>
        <v>0</v>
      </c>
      <c r="BI231" s="226"/>
    </row>
    <row r="232" spans="6:61" ht="12.75" hidden="1">
      <c r="F232" s="384" t="e">
        <f>C232*#REF!</f>
        <v>#REF!</v>
      </c>
      <c r="AD232" s="234" t="str">
        <f>IF((AF178+1)-AF232&lt;(AF178+1),(AF178+1)-AF232," ")</f>
        <v> </v>
      </c>
      <c r="AE232" s="235"/>
      <c r="AF232" s="235">
        <f t="shared" si="27"/>
        <v>0</v>
      </c>
      <c r="AG232" s="235"/>
      <c r="AH232" s="235">
        <f>AF232/((AF178+1)*(AF178/2))</f>
        <v>0</v>
      </c>
      <c r="AI232" s="235"/>
      <c r="AJ232" s="235"/>
      <c r="AK232" s="305">
        <f>AH232*AJ178</f>
        <v>0</v>
      </c>
      <c r="AL232" s="305"/>
      <c r="AM232" s="305">
        <f>IF(AK232&gt;0,AB178-AK232,0)</f>
        <v>0</v>
      </c>
      <c r="AN232" s="226"/>
      <c r="AY232" s="234" t="str">
        <f>IF((BA183+1)-BA232&lt;(BA183+1),(BA183+1)-BA232," ")</f>
        <v> </v>
      </c>
      <c r="AZ232" s="235"/>
      <c r="BA232" s="235">
        <f t="shared" si="28"/>
        <v>0</v>
      </c>
      <c r="BB232" s="235"/>
      <c r="BC232" s="235">
        <f>BA232/((BA183+1)*(BA183/2))</f>
        <v>0</v>
      </c>
      <c r="BD232" s="235"/>
      <c r="BE232" s="235"/>
      <c r="BF232" s="305">
        <f>BC232*BE183</f>
        <v>0</v>
      </c>
      <c r="BG232" s="305"/>
      <c r="BH232" s="305">
        <f>IF(BF232&gt;0,AW183-BF232,0)</f>
        <v>0</v>
      </c>
      <c r="BI232" s="226"/>
    </row>
    <row r="233" spans="6:61" ht="12.75" hidden="1">
      <c r="F233" s="384" t="e">
        <f>C233*#REF!</f>
        <v>#REF!</v>
      </c>
      <c r="AD233" s="234" t="str">
        <f>IF((AF178+1)-AF233&lt;(AF178+1),(AF178+1)-AF233," ")</f>
        <v> </v>
      </c>
      <c r="AE233" s="235"/>
      <c r="AF233" s="235">
        <f t="shared" si="27"/>
        <v>0</v>
      </c>
      <c r="AG233" s="235"/>
      <c r="AH233" s="235">
        <f>AF233/((AF178+1)*(AF178/2))</f>
        <v>0</v>
      </c>
      <c r="AI233" s="235"/>
      <c r="AJ233" s="235"/>
      <c r="AK233" s="305">
        <f>AH233*AJ178</f>
        <v>0</v>
      </c>
      <c r="AL233" s="305"/>
      <c r="AM233" s="305">
        <f>IF(AK233&gt;0,AB178-AK233,0)</f>
        <v>0</v>
      </c>
      <c r="AN233" s="226"/>
      <c r="AY233" s="234" t="str">
        <f>IF((BA183+1)-BA233&lt;(BA183+1),(BA183+1)-BA233," ")</f>
        <v> </v>
      </c>
      <c r="AZ233" s="235"/>
      <c r="BA233" s="235">
        <f t="shared" si="28"/>
        <v>0</v>
      </c>
      <c r="BB233" s="235"/>
      <c r="BC233" s="235">
        <f>BA233/((BA183+1)*(BA183/2))</f>
        <v>0</v>
      </c>
      <c r="BD233" s="235"/>
      <c r="BE233" s="235"/>
      <c r="BF233" s="305">
        <f>BC233*BE183</f>
        <v>0</v>
      </c>
      <c r="BG233" s="305"/>
      <c r="BH233" s="305">
        <f>IF(BF233&gt;0,AW183-BF233,0)</f>
        <v>0</v>
      </c>
      <c r="BI233" s="226"/>
    </row>
    <row r="234" spans="6:61" ht="12.75" hidden="1">
      <c r="F234" s="384" t="e">
        <f>C234*#REF!</f>
        <v>#REF!</v>
      </c>
      <c r="AD234" s="234" t="str">
        <f>IF((AF178+1)-AF234&lt;(AF178+1),(AF178+1)-AF234," ")</f>
        <v> </v>
      </c>
      <c r="AE234" s="235"/>
      <c r="AF234" s="235">
        <f t="shared" si="27"/>
        <v>0</v>
      </c>
      <c r="AG234" s="235"/>
      <c r="AH234" s="235">
        <f>AF234/((AF178+1)*(AF178/2))</f>
        <v>0</v>
      </c>
      <c r="AI234" s="235"/>
      <c r="AJ234" s="235"/>
      <c r="AK234" s="305">
        <f>AH234*AJ178</f>
        <v>0</v>
      </c>
      <c r="AL234" s="305"/>
      <c r="AM234" s="305">
        <f>IF(AK234&gt;0,AB178-AK234,0)</f>
        <v>0</v>
      </c>
      <c r="AN234" s="226"/>
      <c r="AY234" s="234" t="str">
        <f>IF((BA183+1)-BA234&lt;(BA183+1),(BA183+1)-BA234," ")</f>
        <v> </v>
      </c>
      <c r="AZ234" s="235"/>
      <c r="BA234" s="235">
        <f t="shared" si="28"/>
        <v>0</v>
      </c>
      <c r="BB234" s="235"/>
      <c r="BC234" s="235">
        <f>BA234/((BA183+1)*(BA183/2))</f>
        <v>0</v>
      </c>
      <c r="BD234" s="235"/>
      <c r="BE234" s="235"/>
      <c r="BF234" s="305">
        <f>BC234*BE183</f>
        <v>0</v>
      </c>
      <c r="BG234" s="305"/>
      <c r="BH234" s="305">
        <f>IF(BF234&gt;0,AW183-BF234,0)</f>
        <v>0</v>
      </c>
      <c r="BI234" s="226"/>
    </row>
    <row r="235" spans="6:61" ht="12.75" hidden="1">
      <c r="F235" s="384" t="e">
        <f>C235*#REF!</f>
        <v>#REF!</v>
      </c>
      <c r="AD235" s="234" t="str">
        <f>IF((AF178+1)-AF235&lt;(AF178+1),(AF178+1)-AF235," ")</f>
        <v> </v>
      </c>
      <c r="AE235" s="235"/>
      <c r="AF235" s="235">
        <f t="shared" si="27"/>
        <v>0</v>
      </c>
      <c r="AG235" s="235"/>
      <c r="AH235" s="235">
        <f>AF235/((AF178+1)*(AF178/2))</f>
        <v>0</v>
      </c>
      <c r="AI235" s="235"/>
      <c r="AJ235" s="235"/>
      <c r="AK235" s="305">
        <f>AH235*AJ178</f>
        <v>0</v>
      </c>
      <c r="AL235" s="305"/>
      <c r="AM235" s="305">
        <f>IF(AK235&gt;0,AB178-AK235,0)</f>
        <v>0</v>
      </c>
      <c r="AN235" s="226"/>
      <c r="AY235" s="234" t="str">
        <f>IF((BA183+1)-BA235&lt;(BA183+1),(BA183+1)-BA235," ")</f>
        <v> </v>
      </c>
      <c r="AZ235" s="235"/>
      <c r="BA235" s="235">
        <f t="shared" si="28"/>
        <v>0</v>
      </c>
      <c r="BB235" s="235"/>
      <c r="BC235" s="235">
        <f>BA235/((BA183+1)*(BA183/2))</f>
        <v>0</v>
      </c>
      <c r="BD235" s="235"/>
      <c r="BE235" s="235"/>
      <c r="BF235" s="305">
        <f>BC235*BE183</f>
        <v>0</v>
      </c>
      <c r="BG235" s="305"/>
      <c r="BH235" s="305">
        <f>IF(BF235&gt;0,AW183-BF235,0)</f>
        <v>0</v>
      </c>
      <c r="BI235" s="226"/>
    </row>
    <row r="236" spans="6:61" ht="12.75" hidden="1">
      <c r="F236" s="384" t="e">
        <f>C236*#REF!</f>
        <v>#REF!</v>
      </c>
      <c r="AD236" s="234" t="str">
        <f>IF((AF178+1)-AF236&lt;(AF178+1),(AF178+1)-AF236," ")</f>
        <v> </v>
      </c>
      <c r="AE236" s="235"/>
      <c r="AF236" s="235">
        <f t="shared" si="27"/>
        <v>0</v>
      </c>
      <c r="AG236" s="235"/>
      <c r="AH236" s="235">
        <f>AF236/((AF178+1)*(AF178/2))</f>
        <v>0</v>
      </c>
      <c r="AI236" s="235"/>
      <c r="AJ236" s="235"/>
      <c r="AK236" s="305">
        <f>AH236*AJ178</f>
        <v>0</v>
      </c>
      <c r="AL236" s="305"/>
      <c r="AM236" s="305">
        <f>IF(AK236&gt;0,AB178-AK236,0)</f>
        <v>0</v>
      </c>
      <c r="AN236" s="226"/>
      <c r="AY236" s="234" t="str">
        <f>IF((BA183+1)-BA236&lt;(BA183+1),(BA183+1)-BA236," ")</f>
        <v> </v>
      </c>
      <c r="AZ236" s="235"/>
      <c r="BA236" s="235">
        <f t="shared" si="28"/>
        <v>0</v>
      </c>
      <c r="BB236" s="235"/>
      <c r="BC236" s="235">
        <f>BA236/((BA183+1)*(BA183/2))</f>
        <v>0</v>
      </c>
      <c r="BD236" s="235"/>
      <c r="BE236" s="235"/>
      <c r="BF236" s="305">
        <f>BC236*BE183</f>
        <v>0</v>
      </c>
      <c r="BG236" s="305"/>
      <c r="BH236" s="305">
        <f>IF(BF236&gt;0,AW183-BF236,0)</f>
        <v>0</v>
      </c>
      <c r="BI236" s="226"/>
    </row>
    <row r="237" spans="6:61" ht="12.75" hidden="1">
      <c r="F237" s="384" t="e">
        <f>C237*#REF!</f>
        <v>#REF!</v>
      </c>
      <c r="AD237" s="234" t="str">
        <f>IF((AF178+1)-AF237&lt;(AF178+1),(AF178+1)-AF237," ")</f>
        <v> </v>
      </c>
      <c r="AE237" s="235"/>
      <c r="AF237" s="235">
        <f t="shared" si="27"/>
        <v>0</v>
      </c>
      <c r="AG237" s="235"/>
      <c r="AH237" s="235">
        <f>AF237/((AF178+1)*(AF178/2))</f>
        <v>0</v>
      </c>
      <c r="AI237" s="235"/>
      <c r="AJ237" s="235"/>
      <c r="AK237" s="305">
        <f>AH237*AJ178</f>
        <v>0</v>
      </c>
      <c r="AL237" s="305"/>
      <c r="AM237" s="305">
        <f>IF(AK237&gt;0,AB178-AK237,0)</f>
        <v>0</v>
      </c>
      <c r="AN237" s="226"/>
      <c r="AY237" s="234" t="str">
        <f>IF((BA183+1)-BA237&lt;(BA183+1),(BA183+1)-BA237," ")</f>
        <v> </v>
      </c>
      <c r="AZ237" s="235"/>
      <c r="BA237" s="235">
        <f t="shared" si="28"/>
        <v>0</v>
      </c>
      <c r="BB237" s="235"/>
      <c r="BC237" s="235">
        <f>BA237/((BA183+1)*(BA183/2))</f>
        <v>0</v>
      </c>
      <c r="BD237" s="235"/>
      <c r="BE237" s="235"/>
      <c r="BF237" s="305">
        <f>BC237*BE183</f>
        <v>0</v>
      </c>
      <c r="BG237" s="305"/>
      <c r="BH237" s="305">
        <f>IF(BF237&gt;0,AW183-BF237,0)</f>
        <v>0</v>
      </c>
      <c r="BI237" s="226"/>
    </row>
    <row r="238" spans="6:61" ht="13.5" hidden="1" thickBot="1">
      <c r="F238" s="384" t="e">
        <f>C238*#REF!</f>
        <v>#REF!</v>
      </c>
      <c r="AD238" s="311" t="str">
        <f>IF((AF178+1)-AF238&lt;(AF178+1),(AF178+1)-AF238," ")</f>
        <v> </v>
      </c>
      <c r="AE238" s="312"/>
      <c r="AF238" s="312">
        <f t="shared" si="27"/>
        <v>0</v>
      </c>
      <c r="AG238" s="312"/>
      <c r="AH238" s="312">
        <f>AF238/((AF178+1)*(AF178/2))</f>
        <v>0</v>
      </c>
      <c r="AI238" s="312"/>
      <c r="AJ238" s="312"/>
      <c r="AK238" s="313">
        <f>AH238*AJ178</f>
        <v>0</v>
      </c>
      <c r="AL238" s="313"/>
      <c r="AM238" s="313">
        <f>IF(AK238&gt;0,AB178-AK238,0)</f>
        <v>0</v>
      </c>
      <c r="AN238" s="221"/>
      <c r="AY238" s="234" t="str">
        <f>IF((BA183+1)-BA238&lt;(BA183+1),(BA183+1)-BA238," ")</f>
        <v> </v>
      </c>
      <c r="AZ238" s="235"/>
      <c r="BA238" s="235">
        <f t="shared" si="28"/>
        <v>0</v>
      </c>
      <c r="BB238" s="235"/>
      <c r="BC238" s="235">
        <f>BA238/((BA183+1)*(BA183/2))</f>
        <v>0</v>
      </c>
      <c r="BD238" s="235"/>
      <c r="BE238" s="235"/>
      <c r="BF238" s="305">
        <f>BC238*BE183</f>
        <v>0</v>
      </c>
      <c r="BG238" s="305"/>
      <c r="BH238" s="305">
        <f>IF(BF238&gt;0,AW183-BF238,0)</f>
        <v>0</v>
      </c>
      <c r="BI238" s="226"/>
    </row>
    <row r="239" spans="6:61" ht="12.75" hidden="1">
      <c r="F239" s="384" t="e">
        <f>C239*#REF!</f>
        <v>#REF!</v>
      </c>
      <c r="AY239" s="234" t="str">
        <f>IF((BA183+1)-BA239&lt;(BA183+1),(BA183+1)-BA239," ")</f>
        <v> </v>
      </c>
      <c r="AZ239" s="235"/>
      <c r="BA239" s="235">
        <f t="shared" si="28"/>
        <v>0</v>
      </c>
      <c r="BB239" s="235"/>
      <c r="BC239" s="235">
        <f>BA239/((BA183+1)*(BA183/2))</f>
        <v>0</v>
      </c>
      <c r="BD239" s="235"/>
      <c r="BE239" s="235"/>
      <c r="BF239" s="305">
        <f>BC239*BE183</f>
        <v>0</v>
      </c>
      <c r="BG239" s="305"/>
      <c r="BH239" s="305">
        <f>IF(BF239&gt;0,AW183-BF239,0)</f>
        <v>0</v>
      </c>
      <c r="BI239" s="226"/>
    </row>
    <row r="240" spans="6:61" ht="12.75" hidden="1">
      <c r="F240" s="384" t="e">
        <f>C240*#REF!</f>
        <v>#REF!</v>
      </c>
      <c r="AY240" s="234" t="str">
        <f>IF((BA183+1)-BA240&lt;(BA183+1),(BA183+1)-BA240," ")</f>
        <v> </v>
      </c>
      <c r="AZ240" s="235"/>
      <c r="BA240" s="235">
        <f t="shared" si="28"/>
        <v>0</v>
      </c>
      <c r="BB240" s="235"/>
      <c r="BC240" s="235">
        <f>BA240/((BA183+1)*(BA183/2))</f>
        <v>0</v>
      </c>
      <c r="BD240" s="235"/>
      <c r="BE240" s="235"/>
      <c r="BF240" s="305">
        <f>BC240*BE183</f>
        <v>0</v>
      </c>
      <c r="BG240" s="305"/>
      <c r="BH240" s="305">
        <f>IF(BF240&gt;0,AW183-BF240,0)</f>
        <v>0</v>
      </c>
      <c r="BI240" s="226"/>
    </row>
    <row r="241" spans="6:61" ht="12.75" hidden="1">
      <c r="F241" s="384" t="e">
        <f>C241*#REF!</f>
        <v>#REF!</v>
      </c>
      <c r="AY241" s="234" t="str">
        <f>IF((BA183+1)-BA241&lt;(BA183+1),(BA183+1)-BA241," ")</f>
        <v> </v>
      </c>
      <c r="AZ241" s="235"/>
      <c r="BA241" s="235">
        <f t="shared" si="28"/>
        <v>0</v>
      </c>
      <c r="BB241" s="235"/>
      <c r="BC241" s="235">
        <f>BA241/((BA183+1)*(BA183/2))</f>
        <v>0</v>
      </c>
      <c r="BD241" s="235"/>
      <c r="BE241" s="235"/>
      <c r="BF241" s="305">
        <f>BC241*BE183</f>
        <v>0</v>
      </c>
      <c r="BG241" s="305"/>
      <c r="BH241" s="305">
        <f>IF(BF241&gt;0,AW183-BF241,0)</f>
        <v>0</v>
      </c>
      <c r="BI241" s="226"/>
    </row>
    <row r="242" spans="6:61" ht="12.75" hidden="1">
      <c r="F242" s="384" t="e">
        <f>C242*#REF!</f>
        <v>#REF!</v>
      </c>
      <c r="AY242" s="234" t="str">
        <f>IF((BA183+1)-BA242&lt;(BA183+1),(BA183+1)-BA242," ")</f>
        <v> </v>
      </c>
      <c r="AZ242" s="235"/>
      <c r="BA242" s="235">
        <f t="shared" si="28"/>
        <v>0</v>
      </c>
      <c r="BB242" s="235"/>
      <c r="BC242" s="235">
        <f>BA242/((BA183+1)*(BA183/2))</f>
        <v>0</v>
      </c>
      <c r="BD242" s="235"/>
      <c r="BE242" s="235"/>
      <c r="BF242" s="305">
        <f>BC242*BE183</f>
        <v>0</v>
      </c>
      <c r="BG242" s="305"/>
      <c r="BH242" s="305">
        <f>IF(BF242&gt;0,AW183-BF242,0)</f>
        <v>0</v>
      </c>
      <c r="BI242" s="226"/>
    </row>
    <row r="243" spans="6:61" ht="13.5" hidden="1" thickBot="1">
      <c r="F243" s="384" t="e">
        <f>C243*#REF!</f>
        <v>#REF!</v>
      </c>
      <c r="AY243" s="311" t="str">
        <f>IF((BA183+1)-BA243&lt;(BA183+1),(BA183+1)-BA243," ")</f>
        <v> </v>
      </c>
      <c r="AZ243" s="312"/>
      <c r="BA243" s="312">
        <f t="shared" si="28"/>
        <v>0</v>
      </c>
      <c r="BB243" s="312"/>
      <c r="BC243" s="312">
        <f>BA243/((BA183+1)*(BA183/2))</f>
        <v>0</v>
      </c>
      <c r="BD243" s="312"/>
      <c r="BE243" s="312"/>
      <c r="BF243" s="313">
        <f>BC243*BE183</f>
        <v>0</v>
      </c>
      <c r="BG243" s="313"/>
      <c r="BH243" s="313">
        <f>IF(BF243&gt;0,AW183-BF243,0)</f>
        <v>0</v>
      </c>
      <c r="BI243" s="221"/>
    </row>
    <row r="244" ht="12.75" hidden="1">
      <c r="F244" s="384" t="e">
        <f>C244*#REF!</f>
        <v>#REF!</v>
      </c>
    </row>
    <row r="245" ht="12.75" hidden="1">
      <c r="F245" s="384" t="e">
        <f>C245*#REF!</f>
        <v>#REF!</v>
      </c>
    </row>
    <row r="246" ht="12.75" hidden="1">
      <c r="F246" s="384" t="e">
        <f>C246*#REF!</f>
        <v>#REF!</v>
      </c>
    </row>
    <row r="247" ht="12.75" hidden="1">
      <c r="F247" s="384" t="e">
        <f>C247*#REF!</f>
        <v>#REF!</v>
      </c>
    </row>
    <row r="248" ht="12.75" hidden="1">
      <c r="F248" s="384" t="e">
        <f>C248*#REF!</f>
        <v>#REF!</v>
      </c>
    </row>
    <row r="249" ht="12.75" hidden="1">
      <c r="F249" s="384" t="e">
        <f>C249*#REF!</f>
        <v>#REF!</v>
      </c>
    </row>
    <row r="250" ht="12.75" hidden="1">
      <c r="F250" s="384" t="e">
        <f>C250*#REF!</f>
        <v>#REF!</v>
      </c>
    </row>
    <row r="251" ht="12.75" hidden="1">
      <c r="F251" s="384" t="e">
        <f>C251*#REF!</f>
        <v>#REF!</v>
      </c>
    </row>
    <row r="252" ht="12.75" hidden="1">
      <c r="F252" s="384" t="e">
        <f>C252*#REF!</f>
        <v>#REF!</v>
      </c>
    </row>
    <row r="253" ht="12.75" hidden="1">
      <c r="F253" s="384" t="e">
        <f>C253*#REF!</f>
        <v>#REF!</v>
      </c>
    </row>
    <row r="254" ht="12.75" hidden="1">
      <c r="F254" s="384" t="e">
        <f>C254*#REF!</f>
        <v>#REF!</v>
      </c>
    </row>
    <row r="255" ht="12.75" hidden="1">
      <c r="F255" s="384" t="e">
        <f>C255*#REF!</f>
        <v>#REF!</v>
      </c>
    </row>
    <row r="256" ht="12.75" hidden="1">
      <c r="F256" s="384" t="e">
        <f>C256*#REF!</f>
        <v>#REF!</v>
      </c>
    </row>
    <row r="257" ht="12.75" hidden="1">
      <c r="F257" s="384" t="e">
        <f>C257*#REF!</f>
        <v>#REF!</v>
      </c>
    </row>
    <row r="258" ht="12.75" hidden="1">
      <c r="F258" s="384" t="e">
        <f>C258*#REF!</f>
        <v>#REF!</v>
      </c>
    </row>
  </sheetData>
  <sheetProtection password="8FA7" sheet="1" objects="1" scenarios="1"/>
  <protectedRanges>
    <protectedRange password="8FA7" sqref="A2:G4 D10:D21 E13:E21 F24" name="Range1"/>
  </protectedRanges>
  <mergeCells count="5">
    <mergeCell ref="A9:B9"/>
    <mergeCell ref="A1:G1"/>
    <mergeCell ref="A2:G2"/>
    <mergeCell ref="A3:G3"/>
    <mergeCell ref="A4:G4"/>
  </mergeCells>
  <printOptions/>
  <pageMargins left="0.63" right="0.62" top="0.44" bottom="0.11811023622047245" header="0.5" footer="0.5"/>
  <pageSetup blackAndWhite="1" fitToHeight="1" fitToWidth="1" horizontalDpi="600" verticalDpi="600" orientation="portrait" paperSize="9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C1"/>
    </sheetView>
  </sheetViews>
  <sheetFormatPr defaultColWidth="9.140625" defaultRowHeight="12.75"/>
  <cols>
    <col min="2" max="2" width="12.57421875" style="0" customWidth="1"/>
  </cols>
  <sheetData>
    <row r="1" spans="1:3" ht="18">
      <c r="A1" s="953" t="s">
        <v>615</v>
      </c>
      <c r="B1" s="954"/>
      <c r="C1" s="955"/>
    </row>
    <row r="2" spans="1:3" ht="12.75">
      <c r="A2" s="386"/>
      <c r="B2" s="381"/>
      <c r="C2" s="390"/>
    </row>
    <row r="3" spans="1:4" ht="12.75">
      <c r="A3" s="387" t="s">
        <v>500</v>
      </c>
      <c r="B3" s="381"/>
      <c r="C3" s="475">
        <f>'6. LABOUR'!C10</f>
        <v>230</v>
      </c>
      <c r="D3" t="s">
        <v>496</v>
      </c>
    </row>
    <row r="4" spans="1:3" ht="12.75">
      <c r="A4" s="387" t="s">
        <v>539</v>
      </c>
      <c r="B4" s="381"/>
      <c r="C4" s="472">
        <v>0.11</v>
      </c>
    </row>
    <row r="5" spans="1:3" ht="12.75">
      <c r="A5" s="387" t="s">
        <v>540</v>
      </c>
      <c r="B5" s="381"/>
      <c r="C5" s="472">
        <v>0.105</v>
      </c>
    </row>
    <row r="6" spans="1:3" ht="12.75">
      <c r="A6" s="387" t="s">
        <v>20</v>
      </c>
      <c r="B6" s="381"/>
      <c r="C6" s="472">
        <v>0.02</v>
      </c>
    </row>
    <row r="7" spans="1:4" ht="12.75">
      <c r="A7" s="387" t="s">
        <v>498</v>
      </c>
      <c r="B7" s="381"/>
      <c r="C7" s="473">
        <v>0.98</v>
      </c>
      <c r="D7" t="s">
        <v>545</v>
      </c>
    </row>
    <row r="8" spans="1:4" ht="12.75">
      <c r="A8" s="205" t="s">
        <v>494</v>
      </c>
      <c r="B8" s="51"/>
      <c r="C8" s="473">
        <v>1.48</v>
      </c>
      <c r="D8" t="s">
        <v>545</v>
      </c>
    </row>
    <row r="9" spans="1:4" ht="13.5" thickBot="1">
      <c r="A9" s="388" t="s">
        <v>495</v>
      </c>
      <c r="B9" s="209"/>
      <c r="C9" s="474">
        <v>33.78</v>
      </c>
      <c r="D9" t="s">
        <v>545</v>
      </c>
    </row>
    <row r="11" spans="1:6" ht="12.75">
      <c r="A11" s="410"/>
      <c r="B11" s="51"/>
      <c r="C11" s="51"/>
      <c r="D11" s="51"/>
      <c r="E11" s="51"/>
      <c r="F11" s="51"/>
    </row>
    <row r="12" spans="1:6" ht="12.75">
      <c r="A12" s="51"/>
      <c r="B12" s="51"/>
      <c r="C12" s="51"/>
      <c r="D12" s="51"/>
      <c r="E12" s="51"/>
      <c r="F12" s="51"/>
    </row>
    <row r="13" spans="1:7" ht="12.75">
      <c r="A13" s="410"/>
      <c r="B13" s="51"/>
      <c r="C13" s="51"/>
      <c r="D13" s="51"/>
      <c r="E13" s="51"/>
      <c r="F13" s="51"/>
      <c r="G13" s="51"/>
    </row>
    <row r="14" spans="1:7" ht="12.75">
      <c r="A14" s="412"/>
      <c r="B14" s="51"/>
      <c r="C14" s="51"/>
      <c r="D14" s="51"/>
      <c r="E14" s="51"/>
      <c r="F14" s="51"/>
      <c r="G14" s="51"/>
    </row>
    <row r="15" spans="1:7" ht="12.75">
      <c r="A15" s="412"/>
      <c r="B15" s="51"/>
      <c r="C15" s="51"/>
      <c r="D15" s="51"/>
      <c r="E15" s="51"/>
      <c r="F15" s="51"/>
      <c r="G15" s="51"/>
    </row>
    <row r="16" spans="1:7" ht="12.75">
      <c r="A16" s="412"/>
      <c r="B16" s="51"/>
      <c r="C16" s="51"/>
      <c r="D16" s="51"/>
      <c r="E16" s="51"/>
      <c r="F16" s="51"/>
      <c r="G16" s="51"/>
    </row>
  </sheetData>
  <sheetProtection password="8FA7" sheet="1" objects="1" scenario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zoomScale="75" zoomScaleNormal="75" workbookViewId="0" topLeftCell="A1">
      <selection activeCell="A1" sqref="A1:N1"/>
    </sheetView>
  </sheetViews>
  <sheetFormatPr defaultColWidth="9.140625" defaultRowHeight="12.75"/>
  <cols>
    <col min="1" max="1" width="18.57421875" style="0" customWidth="1"/>
    <col min="2" max="2" width="17.140625" style="0" customWidth="1"/>
    <col min="3" max="3" width="21.57421875" style="0" customWidth="1"/>
    <col min="4" max="4" width="16.00390625" style="0" customWidth="1"/>
    <col min="5" max="5" width="7.00390625" style="0" customWidth="1"/>
    <col min="6" max="6" width="18.7109375" style="0" customWidth="1"/>
    <col min="7" max="7" width="17.7109375" style="0" customWidth="1"/>
    <col min="8" max="8" width="21.7109375" style="0" customWidth="1"/>
    <col min="9" max="9" width="16.7109375" style="0" customWidth="1"/>
    <col min="10" max="10" width="6.140625" style="0" customWidth="1"/>
    <col min="11" max="11" width="18.7109375" style="0" customWidth="1"/>
    <col min="12" max="12" width="17.7109375" style="0" customWidth="1"/>
    <col min="13" max="13" width="21.7109375" style="0" customWidth="1"/>
    <col min="14" max="14" width="16.7109375" style="0" customWidth="1"/>
    <col min="15" max="15" width="6.421875" style="0" customWidth="1"/>
    <col min="16" max="16" width="18.7109375" style="0" customWidth="1"/>
    <col min="17" max="17" width="17.7109375" style="0" customWidth="1"/>
    <col min="18" max="18" width="21.57421875" style="0" customWidth="1"/>
    <col min="19" max="19" width="16.7109375" style="0" customWidth="1"/>
    <col min="20" max="20" width="6.140625" style="0" customWidth="1"/>
    <col min="21" max="21" width="18.7109375" style="0" customWidth="1"/>
    <col min="22" max="22" width="17.7109375" style="0" customWidth="1"/>
    <col min="23" max="23" width="21.7109375" style="0" customWidth="1"/>
    <col min="24" max="24" width="16.7109375" style="0" customWidth="1"/>
    <col min="25" max="25" width="8.421875" style="0" customWidth="1"/>
    <col min="26" max="26" width="18.7109375" style="0" customWidth="1"/>
    <col min="27" max="27" width="17.7109375" style="0" customWidth="1"/>
    <col min="28" max="28" width="21.57421875" style="0" customWidth="1"/>
    <col min="29" max="29" width="16.7109375" style="0" customWidth="1"/>
  </cols>
  <sheetData>
    <row r="1" spans="1:29" s="214" customFormat="1" ht="28.5" customHeight="1" thickBot="1">
      <c r="A1" s="896" t="s">
        <v>465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3"/>
    </row>
    <row r="2" spans="1:29" s="214" customFormat="1" ht="18" customHeight="1">
      <c r="A2" s="675" t="s">
        <v>538</v>
      </c>
      <c r="B2" s="676"/>
      <c r="C2" s="676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8"/>
    </row>
    <row r="3" spans="1:29" ht="13.5" thickBo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</row>
    <row r="4" spans="1:29" ht="16.5" thickBot="1">
      <c r="A4" s="686" t="s">
        <v>141</v>
      </c>
      <c r="B4" s="687"/>
      <c r="C4" s="688"/>
      <c r="D4" s="681"/>
      <c r="E4" s="319"/>
      <c r="F4" s="686" t="s">
        <v>142</v>
      </c>
      <c r="G4" s="687"/>
      <c r="H4" s="688"/>
      <c r="I4" s="681"/>
      <c r="J4" s="319"/>
      <c r="K4" s="686" t="s">
        <v>143</v>
      </c>
      <c r="L4" s="687"/>
      <c r="M4" s="688"/>
      <c r="N4" s="681"/>
      <c r="O4" s="319"/>
      <c r="P4" s="686" t="s">
        <v>144</v>
      </c>
      <c r="Q4" s="687"/>
      <c r="R4" s="688"/>
      <c r="S4" s="681"/>
      <c r="T4" s="319"/>
      <c r="U4" s="686" t="s">
        <v>145</v>
      </c>
      <c r="V4" s="687"/>
      <c r="W4" s="688"/>
      <c r="X4" s="681"/>
      <c r="Y4" s="319"/>
      <c r="Z4" s="686" t="s">
        <v>146</v>
      </c>
      <c r="AA4" s="687"/>
      <c r="AB4" s="688"/>
      <c r="AC4" s="681"/>
    </row>
    <row r="5" spans="1:29" s="360" customFormat="1" ht="16.5" thickBot="1">
      <c r="A5" s="682" t="s">
        <v>441</v>
      </c>
      <c r="B5" s="683"/>
      <c r="C5" s="683"/>
      <c r="D5" s="679" t="s">
        <v>483</v>
      </c>
      <c r="E5" s="319"/>
      <c r="F5" s="682" t="s">
        <v>441</v>
      </c>
      <c r="G5" s="683"/>
      <c r="H5" s="683"/>
      <c r="I5" s="679" t="s">
        <v>485</v>
      </c>
      <c r="J5" s="319"/>
      <c r="K5" s="682" t="s">
        <v>441</v>
      </c>
      <c r="L5" s="683"/>
      <c r="M5" s="683"/>
      <c r="N5" s="679" t="s">
        <v>487</v>
      </c>
      <c r="O5" s="319"/>
      <c r="P5" s="682" t="s">
        <v>441</v>
      </c>
      <c r="Q5" s="683"/>
      <c r="R5" s="683"/>
      <c r="S5" s="679" t="s">
        <v>489</v>
      </c>
      <c r="T5" s="319"/>
      <c r="U5" s="682" t="s">
        <v>441</v>
      </c>
      <c r="V5" s="683"/>
      <c r="W5" s="683"/>
      <c r="X5" s="679" t="s">
        <v>528</v>
      </c>
      <c r="Y5" s="319"/>
      <c r="Z5" s="682" t="s">
        <v>441</v>
      </c>
      <c r="AA5" s="683"/>
      <c r="AB5" s="683"/>
      <c r="AC5" s="679" t="s">
        <v>491</v>
      </c>
    </row>
    <row r="6" spans="1:29" ht="12.75">
      <c r="A6" s="613" t="s">
        <v>45</v>
      </c>
      <c r="B6" s="614"/>
      <c r="C6" s="614"/>
      <c r="D6" s="672" t="s">
        <v>484</v>
      </c>
      <c r="E6" s="319"/>
      <c r="F6" s="613" t="s">
        <v>45</v>
      </c>
      <c r="G6" s="614"/>
      <c r="H6" s="614"/>
      <c r="I6" s="672" t="s">
        <v>525</v>
      </c>
      <c r="J6" s="319"/>
      <c r="K6" s="613" t="s">
        <v>45</v>
      </c>
      <c r="L6" s="614"/>
      <c r="M6" s="614"/>
      <c r="N6" s="672" t="s">
        <v>488</v>
      </c>
      <c r="O6" s="319"/>
      <c r="P6" s="613" t="s">
        <v>45</v>
      </c>
      <c r="Q6" s="614"/>
      <c r="R6" s="614"/>
      <c r="S6" s="672" t="s">
        <v>490</v>
      </c>
      <c r="T6" s="319"/>
      <c r="U6" s="613" t="s">
        <v>45</v>
      </c>
      <c r="V6" s="614"/>
      <c r="W6" s="614"/>
      <c r="X6" s="672" t="s">
        <v>527</v>
      </c>
      <c r="Y6" s="319"/>
      <c r="Z6" s="613" t="s">
        <v>45</v>
      </c>
      <c r="AA6" s="614"/>
      <c r="AB6" s="614"/>
      <c r="AC6" s="672" t="s">
        <v>492</v>
      </c>
    </row>
    <row r="7" spans="1:29" ht="12.75">
      <c r="A7" s="613" t="s">
        <v>147</v>
      </c>
      <c r="B7" s="614"/>
      <c r="C7" s="614"/>
      <c r="D7" s="680">
        <v>296</v>
      </c>
      <c r="E7" s="319"/>
      <c r="F7" s="613" t="s">
        <v>147</v>
      </c>
      <c r="G7" s="614"/>
      <c r="H7" s="614"/>
      <c r="I7" s="680">
        <v>165</v>
      </c>
      <c r="J7" s="319"/>
      <c r="K7" s="613" t="s">
        <v>147</v>
      </c>
      <c r="L7" s="614"/>
      <c r="M7" s="614"/>
      <c r="N7" s="680">
        <v>160</v>
      </c>
      <c r="O7" s="319"/>
      <c r="P7" s="613" t="s">
        <v>147</v>
      </c>
      <c r="Q7" s="614"/>
      <c r="R7" s="614"/>
      <c r="S7" s="680">
        <v>170</v>
      </c>
      <c r="T7" s="319"/>
      <c r="U7" s="613" t="s">
        <v>147</v>
      </c>
      <c r="V7" s="614"/>
      <c r="W7" s="614"/>
      <c r="X7" s="680">
        <v>160</v>
      </c>
      <c r="Y7" s="319"/>
      <c r="Z7" s="613" t="s">
        <v>147</v>
      </c>
      <c r="AA7" s="614"/>
      <c r="AB7" s="614"/>
      <c r="AC7" s="680">
        <v>0</v>
      </c>
    </row>
    <row r="8" spans="1:29" ht="13.5" thickBot="1">
      <c r="A8" s="613" t="s">
        <v>53</v>
      </c>
      <c r="B8" s="614"/>
      <c r="C8" s="614"/>
      <c r="D8" s="680">
        <v>2007</v>
      </c>
      <c r="E8" s="319"/>
      <c r="F8" s="613" t="s">
        <v>53</v>
      </c>
      <c r="G8" s="614"/>
      <c r="H8" s="614"/>
      <c r="I8" s="680">
        <v>2008</v>
      </c>
      <c r="J8" s="319"/>
      <c r="K8" s="613" t="s">
        <v>53</v>
      </c>
      <c r="L8" s="614"/>
      <c r="M8" s="614"/>
      <c r="N8" s="680">
        <v>2008</v>
      </c>
      <c r="O8" s="319"/>
      <c r="P8" s="613" t="s">
        <v>53</v>
      </c>
      <c r="Q8" s="614"/>
      <c r="R8" s="614"/>
      <c r="S8" s="680">
        <v>2008</v>
      </c>
      <c r="T8" s="319"/>
      <c r="U8" s="613" t="s">
        <v>53</v>
      </c>
      <c r="V8" s="614"/>
      <c r="W8" s="614"/>
      <c r="X8" s="680">
        <v>2008</v>
      </c>
      <c r="Y8" s="319"/>
      <c r="Z8" s="613" t="s">
        <v>53</v>
      </c>
      <c r="AA8" s="614"/>
      <c r="AB8" s="614"/>
      <c r="AC8" s="680">
        <v>2008</v>
      </c>
    </row>
    <row r="9" spans="1:29" ht="15.75">
      <c r="A9" s="684" t="s">
        <v>445</v>
      </c>
      <c r="B9" s="479" t="s">
        <v>617</v>
      </c>
      <c r="C9" s="612"/>
      <c r="D9" s="489">
        <f>'1. JOB COST SUMMARY'!$G$7</f>
        <v>230</v>
      </c>
      <c r="E9" s="319"/>
      <c r="F9" s="684" t="s">
        <v>445</v>
      </c>
      <c r="G9" s="479" t="s">
        <v>617</v>
      </c>
      <c r="H9" s="612"/>
      <c r="I9" s="489">
        <f>'1. JOB COST SUMMARY'!$G$7</f>
        <v>230</v>
      </c>
      <c r="J9" s="319"/>
      <c r="K9" s="684" t="s">
        <v>445</v>
      </c>
      <c r="L9" s="479" t="s">
        <v>617</v>
      </c>
      <c r="M9" s="612"/>
      <c r="N9" s="489">
        <f>'1. JOB COST SUMMARY'!$G$7</f>
        <v>230</v>
      </c>
      <c r="O9" s="319"/>
      <c r="P9" s="684" t="s">
        <v>445</v>
      </c>
      <c r="Q9" s="479" t="s">
        <v>617</v>
      </c>
      <c r="R9" s="612"/>
      <c r="S9" s="489">
        <f>'1. JOB COST SUMMARY'!$G$7</f>
        <v>230</v>
      </c>
      <c r="T9" s="319"/>
      <c r="U9" s="684" t="s">
        <v>445</v>
      </c>
      <c r="V9" s="479" t="s">
        <v>617</v>
      </c>
      <c r="W9" s="612"/>
      <c r="X9" s="489">
        <f>'1. JOB COST SUMMARY'!$G$7</f>
        <v>230</v>
      </c>
      <c r="Y9" s="319"/>
      <c r="Z9" s="684" t="s">
        <v>445</v>
      </c>
      <c r="AA9" s="479" t="s">
        <v>617</v>
      </c>
      <c r="AB9" s="612"/>
      <c r="AC9" s="489">
        <f>'1. JOB COST SUMMARY'!$G$7</f>
        <v>230</v>
      </c>
    </row>
    <row r="10" spans="1:29" ht="12.75">
      <c r="A10" s="483"/>
      <c r="B10" s="484" t="s">
        <v>616</v>
      </c>
      <c r="C10" s="614"/>
      <c r="D10" s="477">
        <v>6.75</v>
      </c>
      <c r="E10" s="319"/>
      <c r="F10" s="483"/>
      <c r="G10" s="484" t="s">
        <v>616</v>
      </c>
      <c r="H10" s="614"/>
      <c r="I10" s="477">
        <v>8</v>
      </c>
      <c r="J10" s="319"/>
      <c r="K10" s="483"/>
      <c r="L10" s="484" t="s">
        <v>616</v>
      </c>
      <c r="M10" s="614"/>
      <c r="N10" s="477">
        <v>8</v>
      </c>
      <c r="O10" s="319"/>
      <c r="P10" s="483"/>
      <c r="Q10" s="484" t="s">
        <v>616</v>
      </c>
      <c r="R10" s="614"/>
      <c r="S10" s="477">
        <v>6.75</v>
      </c>
      <c r="T10" s="319"/>
      <c r="U10" s="483"/>
      <c r="V10" s="484" t="s">
        <v>616</v>
      </c>
      <c r="W10" s="614"/>
      <c r="X10" s="477">
        <v>1.5</v>
      </c>
      <c r="Y10" s="319"/>
      <c r="Z10" s="483"/>
      <c r="AA10" s="484" t="s">
        <v>616</v>
      </c>
      <c r="AB10" s="614"/>
      <c r="AC10" s="477">
        <v>6.75</v>
      </c>
    </row>
    <row r="11" spans="1:29" ht="12.75">
      <c r="A11" s="483"/>
      <c r="B11" s="614" t="s">
        <v>54</v>
      </c>
      <c r="C11" s="614"/>
      <c r="D11" s="491">
        <f>D9*D10</f>
        <v>1552.5</v>
      </c>
      <c r="E11" s="319"/>
      <c r="F11" s="483"/>
      <c r="G11" s="614" t="s">
        <v>54</v>
      </c>
      <c r="H11" s="614"/>
      <c r="I11" s="491">
        <f>I9*I10</f>
        <v>1840</v>
      </c>
      <c r="J11" s="319"/>
      <c r="K11" s="483"/>
      <c r="L11" s="614" t="s">
        <v>54</v>
      </c>
      <c r="M11" s="614"/>
      <c r="N11" s="491">
        <f>N9*N10</f>
        <v>1840</v>
      </c>
      <c r="O11" s="319"/>
      <c r="P11" s="483"/>
      <c r="Q11" s="614" t="s">
        <v>54</v>
      </c>
      <c r="R11" s="614"/>
      <c r="S11" s="491">
        <f>S9*S10</f>
        <v>1552.5</v>
      </c>
      <c r="T11" s="319"/>
      <c r="U11" s="483"/>
      <c r="V11" s="614" t="s">
        <v>54</v>
      </c>
      <c r="W11" s="614"/>
      <c r="X11" s="491">
        <f>X9*X10</f>
        <v>345</v>
      </c>
      <c r="Y11" s="319"/>
      <c r="Z11" s="483"/>
      <c r="AA11" s="614" t="s">
        <v>54</v>
      </c>
      <c r="AB11" s="614"/>
      <c r="AC11" s="491">
        <f>AC9*AC10</f>
        <v>1552.5</v>
      </c>
    </row>
    <row r="12" spans="1:29" ht="12.75">
      <c r="A12" s="483"/>
      <c r="B12" s="614" t="s">
        <v>148</v>
      </c>
      <c r="C12" s="614"/>
      <c r="D12" s="477">
        <v>15000</v>
      </c>
      <c r="E12" s="319"/>
      <c r="F12" s="483"/>
      <c r="G12" s="614" t="s">
        <v>148</v>
      </c>
      <c r="H12" s="614"/>
      <c r="I12" s="477">
        <v>10000</v>
      </c>
      <c r="J12" s="319"/>
      <c r="K12" s="483"/>
      <c r="L12" s="614" t="s">
        <v>148</v>
      </c>
      <c r="M12" s="614"/>
      <c r="N12" s="477">
        <v>10000</v>
      </c>
      <c r="O12" s="319"/>
      <c r="P12" s="483"/>
      <c r="Q12" s="614" t="s">
        <v>148</v>
      </c>
      <c r="R12" s="614"/>
      <c r="S12" s="477">
        <v>9000</v>
      </c>
      <c r="T12" s="319"/>
      <c r="U12" s="483"/>
      <c r="V12" s="614" t="s">
        <v>148</v>
      </c>
      <c r="W12" s="614"/>
      <c r="X12" s="477">
        <v>5000</v>
      </c>
      <c r="Y12" s="319"/>
      <c r="Z12" s="483"/>
      <c r="AA12" s="614" t="s">
        <v>148</v>
      </c>
      <c r="AB12" s="614"/>
      <c r="AC12" s="477">
        <v>8000</v>
      </c>
    </row>
    <row r="13" spans="1:29" ht="13.5" thickBot="1">
      <c r="A13" s="483"/>
      <c r="B13" s="685" t="s">
        <v>440</v>
      </c>
      <c r="C13" s="614"/>
      <c r="D13" s="834">
        <f>D12/D11</f>
        <v>9.66183574879227</v>
      </c>
      <c r="E13" s="319"/>
      <c r="F13" s="483"/>
      <c r="G13" s="685" t="s">
        <v>440</v>
      </c>
      <c r="H13" s="614"/>
      <c r="I13" s="834">
        <f>I12/I11</f>
        <v>5.434782608695652</v>
      </c>
      <c r="J13" s="319"/>
      <c r="K13" s="483"/>
      <c r="L13" s="685" t="s">
        <v>440</v>
      </c>
      <c r="M13" s="614"/>
      <c r="N13" s="834">
        <f>N12/N11</f>
        <v>5.434782608695652</v>
      </c>
      <c r="O13" s="319"/>
      <c r="P13" s="483"/>
      <c r="Q13" s="685" t="s">
        <v>440</v>
      </c>
      <c r="R13" s="614"/>
      <c r="S13" s="834">
        <f>S12/S11</f>
        <v>5.797101449275362</v>
      </c>
      <c r="T13" s="319"/>
      <c r="U13" s="483"/>
      <c r="V13" s="685" t="s">
        <v>440</v>
      </c>
      <c r="W13" s="614"/>
      <c r="X13" s="834">
        <f>X12/X11</f>
        <v>14.492753623188406</v>
      </c>
      <c r="Y13" s="319"/>
      <c r="Z13" s="483"/>
      <c r="AA13" s="685" t="s">
        <v>440</v>
      </c>
      <c r="AB13" s="614"/>
      <c r="AC13" s="834">
        <f>AC12/AC11</f>
        <v>5.152979066022544</v>
      </c>
    </row>
    <row r="14" spans="1:29" ht="13.5" thickBot="1">
      <c r="A14" s="329"/>
      <c r="B14" s="362"/>
      <c r="C14" s="322"/>
      <c r="D14" s="363"/>
      <c r="E14" s="319"/>
      <c r="F14" s="329"/>
      <c r="G14" s="362"/>
      <c r="H14" s="322"/>
      <c r="I14" s="363"/>
      <c r="J14" s="319"/>
      <c r="K14" s="329"/>
      <c r="L14" s="362"/>
      <c r="M14" s="322"/>
      <c r="N14" s="363"/>
      <c r="O14" s="319"/>
      <c r="P14" s="329"/>
      <c r="Q14" s="362"/>
      <c r="R14" s="322"/>
      <c r="S14" s="363"/>
      <c r="T14" s="319"/>
      <c r="U14" s="329"/>
      <c r="V14" s="362"/>
      <c r="W14" s="322"/>
      <c r="X14" s="363"/>
      <c r="Y14" s="319"/>
      <c r="Z14" s="329"/>
      <c r="AA14" s="362"/>
      <c r="AB14" s="322"/>
      <c r="AC14" s="363"/>
    </row>
    <row r="15" spans="1:29" ht="15.75">
      <c r="A15" s="684" t="s">
        <v>452</v>
      </c>
      <c r="B15" s="689"/>
      <c r="C15" s="689"/>
      <c r="D15" s="691"/>
      <c r="E15" s="319"/>
      <c r="F15" s="684" t="s">
        <v>452</v>
      </c>
      <c r="G15" s="689"/>
      <c r="H15" s="689"/>
      <c r="I15" s="691"/>
      <c r="J15" s="319"/>
      <c r="K15" s="684" t="s">
        <v>452</v>
      </c>
      <c r="L15" s="689"/>
      <c r="M15" s="689"/>
      <c r="N15" s="691"/>
      <c r="O15" s="319"/>
      <c r="P15" s="684" t="s">
        <v>452</v>
      </c>
      <c r="Q15" s="689"/>
      <c r="R15" s="689"/>
      <c r="S15" s="691"/>
      <c r="T15" s="319"/>
      <c r="U15" s="684" t="s">
        <v>452</v>
      </c>
      <c r="V15" s="689"/>
      <c r="W15" s="689"/>
      <c r="X15" s="691"/>
      <c r="Y15" s="319"/>
      <c r="Z15" s="684" t="s">
        <v>452</v>
      </c>
      <c r="AA15" s="689"/>
      <c r="AB15" s="689"/>
      <c r="AC15" s="691"/>
    </row>
    <row r="16" spans="1:29" ht="12.75">
      <c r="A16" s="634" t="s">
        <v>446</v>
      </c>
      <c r="B16" s="484" t="s">
        <v>520</v>
      </c>
      <c r="C16" s="484"/>
      <c r="D16" s="808">
        <v>750000</v>
      </c>
      <c r="E16" s="319"/>
      <c r="F16" s="634" t="s">
        <v>446</v>
      </c>
      <c r="G16" s="484" t="s">
        <v>49</v>
      </c>
      <c r="H16" s="484"/>
      <c r="I16" s="808">
        <v>780000</v>
      </c>
      <c r="J16" s="319"/>
      <c r="K16" s="634" t="s">
        <v>446</v>
      </c>
      <c r="L16" s="484" t="s">
        <v>49</v>
      </c>
      <c r="M16" s="484"/>
      <c r="N16" s="808">
        <v>408000</v>
      </c>
      <c r="O16" s="319"/>
      <c r="P16" s="634" t="s">
        <v>446</v>
      </c>
      <c r="Q16" s="484" t="s">
        <v>49</v>
      </c>
      <c r="R16" s="484"/>
      <c r="S16" s="808">
        <v>435000</v>
      </c>
      <c r="T16" s="319"/>
      <c r="U16" s="634" t="s">
        <v>446</v>
      </c>
      <c r="V16" s="484" t="s">
        <v>49</v>
      </c>
      <c r="W16" s="484"/>
      <c r="X16" s="808">
        <v>80000</v>
      </c>
      <c r="Y16" s="319"/>
      <c r="Z16" s="634" t="s">
        <v>446</v>
      </c>
      <c r="AA16" s="484" t="s">
        <v>49</v>
      </c>
      <c r="AB16" s="484"/>
      <c r="AC16" s="808">
        <v>54000</v>
      </c>
    </row>
    <row r="17" spans="1:29" ht="12.75">
      <c r="A17" s="634"/>
      <c r="B17" s="484" t="s">
        <v>486</v>
      </c>
      <c r="C17" s="484"/>
      <c r="D17" s="809">
        <v>0.25</v>
      </c>
      <c r="E17" s="319"/>
      <c r="F17" s="634"/>
      <c r="G17" s="484" t="s">
        <v>486</v>
      </c>
      <c r="H17" s="484"/>
      <c r="I17" s="809">
        <v>0.25</v>
      </c>
      <c r="J17" s="319"/>
      <c r="K17" s="634"/>
      <c r="L17" s="484" t="s">
        <v>486</v>
      </c>
      <c r="M17" s="484"/>
      <c r="N17" s="809">
        <v>0.25</v>
      </c>
      <c r="O17" s="319"/>
      <c r="P17" s="634"/>
      <c r="Q17" s="484" t="s">
        <v>486</v>
      </c>
      <c r="R17" s="484"/>
      <c r="S17" s="809">
        <v>0.25</v>
      </c>
      <c r="T17" s="319"/>
      <c r="U17" s="634"/>
      <c r="V17" s="484" t="s">
        <v>486</v>
      </c>
      <c r="W17" s="484"/>
      <c r="X17" s="809">
        <v>0.1</v>
      </c>
      <c r="Y17" s="319"/>
      <c r="Z17" s="634"/>
      <c r="AA17" s="484" t="s">
        <v>486</v>
      </c>
      <c r="AB17" s="484"/>
      <c r="AC17" s="809">
        <v>0.25</v>
      </c>
    </row>
    <row r="18" spans="1:29" ht="12.75">
      <c r="A18" s="483"/>
      <c r="B18" s="484" t="s">
        <v>521</v>
      </c>
      <c r="C18" s="484"/>
      <c r="D18" s="692">
        <f>D16*D17</f>
        <v>187500</v>
      </c>
      <c r="E18" s="319"/>
      <c r="F18" s="483"/>
      <c r="G18" s="484" t="s">
        <v>521</v>
      </c>
      <c r="H18" s="484"/>
      <c r="I18" s="692">
        <f>I16*I17</f>
        <v>195000</v>
      </c>
      <c r="J18" s="319"/>
      <c r="K18" s="483"/>
      <c r="L18" s="484" t="s">
        <v>521</v>
      </c>
      <c r="M18" s="484"/>
      <c r="N18" s="692">
        <f>N16*N17</f>
        <v>102000</v>
      </c>
      <c r="O18" s="319"/>
      <c r="P18" s="483"/>
      <c r="Q18" s="484" t="s">
        <v>521</v>
      </c>
      <c r="R18" s="484"/>
      <c r="S18" s="692">
        <f>S16*S17</f>
        <v>108750</v>
      </c>
      <c r="T18" s="319"/>
      <c r="U18" s="483"/>
      <c r="V18" s="484" t="s">
        <v>521</v>
      </c>
      <c r="W18" s="484"/>
      <c r="X18" s="692">
        <f>X16*X17</f>
        <v>8000</v>
      </c>
      <c r="Y18" s="319"/>
      <c r="Z18" s="483"/>
      <c r="AA18" s="484" t="s">
        <v>521</v>
      </c>
      <c r="AB18" s="484"/>
      <c r="AC18" s="692">
        <f>AC16*AC17</f>
        <v>13500</v>
      </c>
    </row>
    <row r="19" spans="1:29" ht="12.75">
      <c r="A19" s="483"/>
      <c r="B19" s="484" t="s">
        <v>442</v>
      </c>
      <c r="C19" s="484"/>
      <c r="D19" s="810">
        <v>15000</v>
      </c>
      <c r="E19" s="319"/>
      <c r="F19" s="483"/>
      <c r="G19" s="484" t="s">
        <v>442</v>
      </c>
      <c r="H19" s="484"/>
      <c r="I19" s="810">
        <v>6000</v>
      </c>
      <c r="J19" s="319"/>
      <c r="K19" s="483"/>
      <c r="L19" s="484" t="s">
        <v>442</v>
      </c>
      <c r="M19" s="484"/>
      <c r="N19" s="810">
        <v>5000</v>
      </c>
      <c r="O19" s="319"/>
      <c r="P19" s="483"/>
      <c r="Q19" s="484" t="s">
        <v>442</v>
      </c>
      <c r="R19" s="484"/>
      <c r="S19" s="810">
        <v>4000</v>
      </c>
      <c r="T19" s="319"/>
      <c r="U19" s="483"/>
      <c r="V19" s="484" t="s">
        <v>442</v>
      </c>
      <c r="W19" s="484"/>
      <c r="X19" s="810">
        <v>7500</v>
      </c>
      <c r="Y19" s="319"/>
      <c r="Z19" s="483"/>
      <c r="AA19" s="484" t="s">
        <v>442</v>
      </c>
      <c r="AB19" s="484"/>
      <c r="AC19" s="810">
        <v>1</v>
      </c>
    </row>
    <row r="20" spans="1:29" ht="12.75">
      <c r="A20" s="483"/>
      <c r="B20" s="484" t="s">
        <v>443</v>
      </c>
      <c r="C20" s="484"/>
      <c r="D20" s="811">
        <v>45000</v>
      </c>
      <c r="E20" s="319"/>
      <c r="F20" s="483"/>
      <c r="G20" s="484" t="s">
        <v>443</v>
      </c>
      <c r="H20" s="484"/>
      <c r="I20" s="811">
        <v>40000</v>
      </c>
      <c r="J20" s="319"/>
      <c r="K20" s="483"/>
      <c r="L20" s="484" t="s">
        <v>443</v>
      </c>
      <c r="M20" s="484"/>
      <c r="N20" s="811">
        <v>40000</v>
      </c>
      <c r="O20" s="319"/>
      <c r="P20" s="483"/>
      <c r="Q20" s="484" t="s">
        <v>443</v>
      </c>
      <c r="R20" s="484"/>
      <c r="S20" s="811">
        <v>24800</v>
      </c>
      <c r="T20" s="319"/>
      <c r="U20" s="483"/>
      <c r="V20" s="484" t="s">
        <v>443</v>
      </c>
      <c r="W20" s="484"/>
      <c r="X20" s="811">
        <v>20000</v>
      </c>
      <c r="Y20" s="319"/>
      <c r="Z20" s="483"/>
      <c r="AA20" s="484" t="s">
        <v>443</v>
      </c>
      <c r="AB20" s="484"/>
      <c r="AC20" s="811">
        <v>0</v>
      </c>
    </row>
    <row r="21" spans="1:29" ht="12.75">
      <c r="A21" s="483"/>
      <c r="B21" s="484" t="s">
        <v>96</v>
      </c>
      <c r="C21" s="484"/>
      <c r="D21" s="693">
        <f>(D16-D20-D18)/D13</f>
        <v>53561.25</v>
      </c>
      <c r="E21" s="319"/>
      <c r="F21" s="483"/>
      <c r="G21" s="484" t="s">
        <v>96</v>
      </c>
      <c r="H21" s="484"/>
      <c r="I21" s="693">
        <f>(I16-I20-I18)/I13</f>
        <v>100280</v>
      </c>
      <c r="J21" s="319"/>
      <c r="K21" s="483"/>
      <c r="L21" s="484" t="s">
        <v>96</v>
      </c>
      <c r="M21" s="484"/>
      <c r="N21" s="693">
        <f>(N16-N20-N18)/N13</f>
        <v>48944</v>
      </c>
      <c r="O21" s="319"/>
      <c r="P21" s="483"/>
      <c r="Q21" s="484" t="s">
        <v>96</v>
      </c>
      <c r="R21" s="484"/>
      <c r="S21" s="693">
        <f>(S16-S20-S18)/S13</f>
        <v>52000.125</v>
      </c>
      <c r="T21" s="319"/>
      <c r="U21" s="483"/>
      <c r="V21" s="484" t="s">
        <v>96</v>
      </c>
      <c r="W21" s="484"/>
      <c r="X21" s="693">
        <f>(X16-X20-X18)/X13</f>
        <v>3588</v>
      </c>
      <c r="Y21" s="319"/>
      <c r="Z21" s="483"/>
      <c r="AA21" s="484" t="s">
        <v>96</v>
      </c>
      <c r="AB21" s="484"/>
      <c r="AC21" s="693">
        <f>(AC16-AC20-AC18)/AC13</f>
        <v>7859.53125</v>
      </c>
    </row>
    <row r="22" spans="1:29" ht="12.75">
      <c r="A22" s="483"/>
      <c r="B22" s="641" t="s">
        <v>529</v>
      </c>
      <c r="C22" s="484"/>
      <c r="D22" s="694">
        <f>D21/D9</f>
        <v>232.875</v>
      </c>
      <c r="E22" s="319"/>
      <c r="F22" s="483"/>
      <c r="G22" s="641" t="s">
        <v>529</v>
      </c>
      <c r="H22" s="484"/>
      <c r="I22" s="694">
        <f>I21/I9</f>
        <v>436</v>
      </c>
      <c r="J22" s="319"/>
      <c r="K22" s="483"/>
      <c r="L22" s="641" t="s">
        <v>529</v>
      </c>
      <c r="M22" s="484"/>
      <c r="N22" s="694">
        <f>N21/N9</f>
        <v>212.8</v>
      </c>
      <c r="O22" s="319"/>
      <c r="P22" s="483"/>
      <c r="Q22" s="641" t="s">
        <v>529</v>
      </c>
      <c r="R22" s="484"/>
      <c r="S22" s="694">
        <f>S21/S9</f>
        <v>226.0875</v>
      </c>
      <c r="T22" s="319"/>
      <c r="U22" s="483"/>
      <c r="V22" s="641" t="s">
        <v>529</v>
      </c>
      <c r="W22" s="484"/>
      <c r="X22" s="694">
        <f>X21/X9</f>
        <v>15.6</v>
      </c>
      <c r="Y22" s="319"/>
      <c r="Z22" s="483"/>
      <c r="AA22" s="641" t="s">
        <v>529</v>
      </c>
      <c r="AB22" s="484"/>
      <c r="AC22" s="694">
        <f>AC21/AC9</f>
        <v>34.171875</v>
      </c>
    </row>
    <row r="23" spans="1:29" ht="12.75">
      <c r="A23" s="634" t="s">
        <v>19</v>
      </c>
      <c r="B23" s="484" t="s">
        <v>71</v>
      </c>
      <c r="C23" s="484"/>
      <c r="D23" s="812">
        <v>0.75</v>
      </c>
      <c r="E23" s="319"/>
      <c r="F23" s="634" t="s">
        <v>19</v>
      </c>
      <c r="G23" s="484" t="s">
        <v>71</v>
      </c>
      <c r="H23" s="484"/>
      <c r="I23" s="812">
        <v>0.75</v>
      </c>
      <c r="J23" s="319"/>
      <c r="K23" s="634" t="s">
        <v>19</v>
      </c>
      <c r="L23" s="484" t="s">
        <v>71</v>
      </c>
      <c r="M23" s="484"/>
      <c r="N23" s="812">
        <v>0.75</v>
      </c>
      <c r="O23" s="319"/>
      <c r="P23" s="634" t="s">
        <v>19</v>
      </c>
      <c r="Q23" s="484" t="s">
        <v>71</v>
      </c>
      <c r="R23" s="484"/>
      <c r="S23" s="812">
        <v>0.75</v>
      </c>
      <c r="T23" s="319"/>
      <c r="U23" s="634" t="s">
        <v>19</v>
      </c>
      <c r="V23" s="484" t="s">
        <v>71</v>
      </c>
      <c r="W23" s="484"/>
      <c r="X23" s="812">
        <v>0.75</v>
      </c>
      <c r="Y23" s="319"/>
      <c r="Z23" s="634" t="s">
        <v>19</v>
      </c>
      <c r="AA23" s="484" t="s">
        <v>71</v>
      </c>
      <c r="AB23" s="484"/>
      <c r="AC23" s="812">
        <v>0.75</v>
      </c>
    </row>
    <row r="24" spans="1:29" ht="12.75">
      <c r="A24" s="483"/>
      <c r="B24" s="484" t="s">
        <v>74</v>
      </c>
      <c r="C24" s="484"/>
      <c r="D24" s="813">
        <v>0.25</v>
      </c>
      <c r="E24" s="319"/>
      <c r="F24" s="483"/>
      <c r="G24" s="484" t="s">
        <v>74</v>
      </c>
      <c r="H24" s="484"/>
      <c r="I24" s="813">
        <v>0.25</v>
      </c>
      <c r="J24" s="319"/>
      <c r="K24" s="483"/>
      <c r="L24" s="484" t="s">
        <v>74</v>
      </c>
      <c r="M24" s="484"/>
      <c r="N24" s="813">
        <v>0.25</v>
      </c>
      <c r="O24" s="319"/>
      <c r="P24" s="483"/>
      <c r="Q24" s="484" t="s">
        <v>74</v>
      </c>
      <c r="R24" s="484"/>
      <c r="S24" s="813">
        <v>0.25</v>
      </c>
      <c r="T24" s="319"/>
      <c r="U24" s="483"/>
      <c r="V24" s="484" t="s">
        <v>74</v>
      </c>
      <c r="W24" s="484"/>
      <c r="X24" s="813">
        <v>0.25</v>
      </c>
      <c r="Y24" s="319"/>
      <c r="Z24" s="483"/>
      <c r="AA24" s="484" t="s">
        <v>74</v>
      </c>
      <c r="AB24" s="484"/>
      <c r="AC24" s="813">
        <v>0.25</v>
      </c>
    </row>
    <row r="25" spans="1:29" ht="12.75">
      <c r="A25" s="483"/>
      <c r="B25" s="484" t="s">
        <v>79</v>
      </c>
      <c r="C25" s="484"/>
      <c r="D25" s="807">
        <f>'2. COST VARIABLES'!C4</f>
        <v>0.11</v>
      </c>
      <c r="E25" s="319"/>
      <c r="F25" s="483"/>
      <c r="G25" s="484" t="s">
        <v>79</v>
      </c>
      <c r="H25" s="484"/>
      <c r="I25" s="807">
        <f>'2. COST VARIABLES'!C4</f>
        <v>0.11</v>
      </c>
      <c r="J25" s="319"/>
      <c r="K25" s="483"/>
      <c r="L25" s="484" t="s">
        <v>79</v>
      </c>
      <c r="M25" s="484"/>
      <c r="N25" s="807">
        <f>'2. COST VARIABLES'!C4</f>
        <v>0.11</v>
      </c>
      <c r="O25" s="319"/>
      <c r="P25" s="483"/>
      <c r="Q25" s="484" t="s">
        <v>79</v>
      </c>
      <c r="R25" s="484"/>
      <c r="S25" s="807">
        <f>'2. COST VARIABLES'!C4</f>
        <v>0.11</v>
      </c>
      <c r="T25" s="319"/>
      <c r="U25" s="483"/>
      <c r="V25" s="484" t="s">
        <v>79</v>
      </c>
      <c r="W25" s="484"/>
      <c r="X25" s="807">
        <f>'2. COST VARIABLES'!C4</f>
        <v>0.11</v>
      </c>
      <c r="Y25" s="319"/>
      <c r="Z25" s="483"/>
      <c r="AA25" s="484" t="s">
        <v>79</v>
      </c>
      <c r="AB25" s="484"/>
      <c r="AC25" s="807">
        <f>'2. COST VARIABLES'!C4</f>
        <v>0.11</v>
      </c>
    </row>
    <row r="26" spans="1:29" ht="12.75">
      <c r="A26" s="483"/>
      <c r="B26" s="484" t="s">
        <v>83</v>
      </c>
      <c r="C26" s="484"/>
      <c r="D26" s="807">
        <f>'2. COST VARIABLES'!C5</f>
        <v>0.105</v>
      </c>
      <c r="E26" s="319"/>
      <c r="F26" s="483"/>
      <c r="G26" s="484" t="s">
        <v>83</v>
      </c>
      <c r="H26" s="484"/>
      <c r="I26" s="807">
        <f>'2. COST VARIABLES'!C5</f>
        <v>0.105</v>
      </c>
      <c r="J26" s="319"/>
      <c r="K26" s="483"/>
      <c r="L26" s="484" t="s">
        <v>83</v>
      </c>
      <c r="M26" s="484"/>
      <c r="N26" s="807">
        <f>'2. COST VARIABLES'!C5</f>
        <v>0.105</v>
      </c>
      <c r="O26" s="319"/>
      <c r="P26" s="483"/>
      <c r="Q26" s="484" t="s">
        <v>83</v>
      </c>
      <c r="R26" s="484"/>
      <c r="S26" s="807">
        <f>'2. COST VARIABLES'!C5</f>
        <v>0.105</v>
      </c>
      <c r="T26" s="319"/>
      <c r="U26" s="483"/>
      <c r="V26" s="484" t="s">
        <v>83</v>
      </c>
      <c r="W26" s="484"/>
      <c r="X26" s="807">
        <f>'2. COST VARIABLES'!C5</f>
        <v>0.105</v>
      </c>
      <c r="Y26" s="319"/>
      <c r="Z26" s="483"/>
      <c r="AA26" s="484" t="s">
        <v>83</v>
      </c>
      <c r="AB26" s="484"/>
      <c r="AC26" s="807">
        <f>'2. COST VARIABLES'!C5</f>
        <v>0.105</v>
      </c>
    </row>
    <row r="27" spans="1:29" ht="12.75">
      <c r="A27" s="483"/>
      <c r="B27" s="690" t="s">
        <v>103</v>
      </c>
      <c r="C27" s="484"/>
      <c r="D27" s="695">
        <f>(D23*D25)+(D24*D26)</f>
        <v>0.10875</v>
      </c>
      <c r="E27" s="319"/>
      <c r="F27" s="483"/>
      <c r="G27" s="690" t="s">
        <v>103</v>
      </c>
      <c r="H27" s="484"/>
      <c r="I27" s="695">
        <f>(I23*I25)+(I24*I26)</f>
        <v>0.10875</v>
      </c>
      <c r="J27" s="319"/>
      <c r="K27" s="483"/>
      <c r="L27" s="690" t="s">
        <v>103</v>
      </c>
      <c r="M27" s="484"/>
      <c r="N27" s="695">
        <f>(N23*N25)+(N24*N26)</f>
        <v>0.10875</v>
      </c>
      <c r="O27" s="319"/>
      <c r="P27" s="483"/>
      <c r="Q27" s="690" t="s">
        <v>103</v>
      </c>
      <c r="R27" s="484"/>
      <c r="S27" s="695">
        <f>(S23*S25)+(S24*S26)</f>
        <v>0.10875</v>
      </c>
      <c r="T27" s="319"/>
      <c r="U27" s="483"/>
      <c r="V27" s="690" t="s">
        <v>103</v>
      </c>
      <c r="W27" s="484"/>
      <c r="X27" s="695">
        <f>(X23*X25)+(X24*X26)</f>
        <v>0.10875</v>
      </c>
      <c r="Y27" s="319"/>
      <c r="Z27" s="483"/>
      <c r="AA27" s="690" t="s">
        <v>103</v>
      </c>
      <c r="AB27" s="484"/>
      <c r="AC27" s="695">
        <f>(AC23*AC25)+(AC24*AC26)</f>
        <v>0.10875</v>
      </c>
    </row>
    <row r="28" spans="1:29" ht="12.75">
      <c r="A28" s="483"/>
      <c r="B28" s="484" t="s">
        <v>69</v>
      </c>
      <c r="C28" s="484"/>
      <c r="D28" s="693">
        <f>((D16-D18)*(D13+1)/(2*D13))+D18</f>
        <v>497859.375</v>
      </c>
      <c r="E28" s="319"/>
      <c r="F28" s="483"/>
      <c r="G28" s="484" t="s">
        <v>69</v>
      </c>
      <c r="H28" s="484"/>
      <c r="I28" s="693">
        <f>((I16-I18)*(I13+1)/(2*I13))+I18</f>
        <v>541320</v>
      </c>
      <c r="J28" s="319"/>
      <c r="K28" s="483"/>
      <c r="L28" s="484" t="s">
        <v>69</v>
      </c>
      <c r="M28" s="484"/>
      <c r="N28" s="693">
        <f>((N16-N18)*(N13+1)/(2*N13))+N18</f>
        <v>283152</v>
      </c>
      <c r="O28" s="319"/>
      <c r="P28" s="483"/>
      <c r="Q28" s="484" t="s">
        <v>69</v>
      </c>
      <c r="R28" s="484"/>
      <c r="S28" s="693">
        <f>((S16-S18)*(S13+1)/(2*S13))+S18</f>
        <v>300014.0625</v>
      </c>
      <c r="T28" s="319"/>
      <c r="U28" s="483"/>
      <c r="V28" s="484" t="s">
        <v>69</v>
      </c>
      <c r="W28" s="484"/>
      <c r="X28" s="693">
        <f>((X16-X18)*(X13+1)/(2*X13))+X18</f>
        <v>46484</v>
      </c>
      <c r="Y28" s="319"/>
      <c r="Z28" s="483"/>
      <c r="AA28" s="484" t="s">
        <v>69</v>
      </c>
      <c r="AB28" s="484"/>
      <c r="AC28" s="693">
        <f>((AC16-AC18)*(AC13+1)/(2*AC13))+AC18</f>
        <v>37679.765625</v>
      </c>
    </row>
    <row r="29" spans="1:29" ht="12.75">
      <c r="A29" s="483"/>
      <c r="B29" s="641" t="s">
        <v>448</v>
      </c>
      <c r="C29" s="484"/>
      <c r="D29" s="694">
        <f>(D27*D28)/D9</f>
        <v>235.40090013586956</v>
      </c>
      <c r="E29" s="319"/>
      <c r="F29" s="483"/>
      <c r="G29" s="641" t="s">
        <v>448</v>
      </c>
      <c r="H29" s="484"/>
      <c r="I29" s="694">
        <f>(I27*I28)/I9</f>
        <v>255.95021739130436</v>
      </c>
      <c r="J29" s="319"/>
      <c r="K29" s="483"/>
      <c r="L29" s="641" t="s">
        <v>448</v>
      </c>
      <c r="M29" s="484"/>
      <c r="N29" s="694">
        <f>(N27*N28)/N9</f>
        <v>133.88165217391304</v>
      </c>
      <c r="O29" s="319"/>
      <c r="P29" s="483"/>
      <c r="Q29" s="641" t="s">
        <v>448</v>
      </c>
      <c r="R29" s="484"/>
      <c r="S29" s="694">
        <f>(S27*S28)/S9</f>
        <v>141.85447520380436</v>
      </c>
      <c r="T29" s="319"/>
      <c r="U29" s="483"/>
      <c r="V29" s="641" t="s">
        <v>448</v>
      </c>
      <c r="W29" s="484"/>
      <c r="X29" s="694">
        <f>(X27*X28)/X9</f>
        <v>21.97884782608696</v>
      </c>
      <c r="Y29" s="319"/>
      <c r="Z29" s="483"/>
      <c r="AA29" s="641" t="s">
        <v>448</v>
      </c>
      <c r="AB29" s="484"/>
      <c r="AC29" s="694">
        <f>(AC27*AC28)/AC9</f>
        <v>17.815976137907608</v>
      </c>
    </row>
    <row r="30" spans="1:29" ht="12.75">
      <c r="A30" s="634" t="s">
        <v>20</v>
      </c>
      <c r="B30" s="484" t="s">
        <v>444</v>
      </c>
      <c r="C30" s="484"/>
      <c r="D30" s="696">
        <f>'2. COST VARIABLES'!C6</f>
        <v>0.02</v>
      </c>
      <c r="E30" s="319"/>
      <c r="F30" s="634" t="s">
        <v>20</v>
      </c>
      <c r="G30" s="484" t="s">
        <v>444</v>
      </c>
      <c r="H30" s="484"/>
      <c r="I30" s="696">
        <f>'2. COST VARIABLES'!C6</f>
        <v>0.02</v>
      </c>
      <c r="J30" s="319"/>
      <c r="K30" s="634" t="s">
        <v>20</v>
      </c>
      <c r="L30" s="484" t="s">
        <v>444</v>
      </c>
      <c r="M30" s="484"/>
      <c r="N30" s="696">
        <f>'2. COST VARIABLES'!C6</f>
        <v>0.02</v>
      </c>
      <c r="O30" s="319"/>
      <c r="P30" s="634" t="s">
        <v>20</v>
      </c>
      <c r="Q30" s="484" t="s">
        <v>444</v>
      </c>
      <c r="R30" s="484"/>
      <c r="S30" s="696">
        <f>'2. COST VARIABLES'!C6</f>
        <v>0.02</v>
      </c>
      <c r="T30" s="319"/>
      <c r="U30" s="634" t="s">
        <v>20</v>
      </c>
      <c r="V30" s="484" t="s">
        <v>444</v>
      </c>
      <c r="W30" s="484"/>
      <c r="X30" s="696">
        <f>'2. COST VARIABLES'!C6</f>
        <v>0.02</v>
      </c>
      <c r="Y30" s="319"/>
      <c r="Z30" s="634" t="s">
        <v>20</v>
      </c>
      <c r="AA30" s="484" t="s">
        <v>444</v>
      </c>
      <c r="AB30" s="484"/>
      <c r="AC30" s="696">
        <f>'2. COST VARIABLES'!C6</f>
        <v>0.02</v>
      </c>
    </row>
    <row r="31" spans="1:29" ht="12.75">
      <c r="A31" s="483"/>
      <c r="B31" s="641" t="s">
        <v>447</v>
      </c>
      <c r="C31" s="484"/>
      <c r="D31" s="694">
        <f>(D28*D30)/D9</f>
        <v>43.29211956521739</v>
      </c>
      <c r="E31" s="319"/>
      <c r="F31" s="483"/>
      <c r="G31" s="641" t="s">
        <v>447</v>
      </c>
      <c r="H31" s="484"/>
      <c r="I31" s="694">
        <f>(I28*I30)/I9</f>
        <v>47.071304347826086</v>
      </c>
      <c r="J31" s="319"/>
      <c r="K31" s="483"/>
      <c r="L31" s="641" t="s">
        <v>447</v>
      </c>
      <c r="M31" s="484"/>
      <c r="N31" s="694">
        <f>(N28*N30)/N9</f>
        <v>24.621913043478262</v>
      </c>
      <c r="O31" s="319"/>
      <c r="P31" s="483"/>
      <c r="Q31" s="641" t="s">
        <v>447</v>
      </c>
      <c r="R31" s="484"/>
      <c r="S31" s="694">
        <f>(S28*S30)/S9</f>
        <v>26.088179347826088</v>
      </c>
      <c r="T31" s="319"/>
      <c r="U31" s="483"/>
      <c r="V31" s="641" t="s">
        <v>447</v>
      </c>
      <c r="W31" s="484"/>
      <c r="X31" s="694">
        <f>(X28*X30)/X9</f>
        <v>4.042086956521739</v>
      </c>
      <c r="Y31" s="319"/>
      <c r="Z31" s="483"/>
      <c r="AA31" s="641" t="s">
        <v>447</v>
      </c>
      <c r="AB31" s="484"/>
      <c r="AC31" s="694">
        <f>(AC28*AC30)/AC9</f>
        <v>3.276501358695652</v>
      </c>
    </row>
    <row r="32" spans="1:29" ht="13.5" thickBot="1">
      <c r="A32" s="634" t="s">
        <v>456</v>
      </c>
      <c r="B32" s="641"/>
      <c r="C32" s="484"/>
      <c r="D32" s="694">
        <f>D31+D29+D22</f>
        <v>511.56801970108694</v>
      </c>
      <c r="E32" s="319"/>
      <c r="F32" s="634" t="s">
        <v>456</v>
      </c>
      <c r="G32" s="641"/>
      <c r="H32" s="484"/>
      <c r="I32" s="694">
        <f>I31+I29+I22</f>
        <v>739.0215217391304</v>
      </c>
      <c r="J32" s="319"/>
      <c r="K32" s="634" t="s">
        <v>456</v>
      </c>
      <c r="L32" s="641"/>
      <c r="M32" s="484"/>
      <c r="N32" s="694">
        <f>N31+N29+N22</f>
        <v>371.30356521739134</v>
      </c>
      <c r="O32" s="319"/>
      <c r="P32" s="634" t="s">
        <v>456</v>
      </c>
      <c r="Q32" s="641"/>
      <c r="R32" s="484"/>
      <c r="S32" s="694">
        <f>S31+S29+S22</f>
        <v>394.03015455163046</v>
      </c>
      <c r="T32" s="319"/>
      <c r="U32" s="634" t="s">
        <v>456</v>
      </c>
      <c r="V32" s="641"/>
      <c r="W32" s="484"/>
      <c r="X32" s="694">
        <f>X31+X29+X22</f>
        <v>41.6209347826087</v>
      </c>
      <c r="Y32" s="319"/>
      <c r="Z32" s="634" t="s">
        <v>456</v>
      </c>
      <c r="AA32" s="641"/>
      <c r="AB32" s="484"/>
      <c r="AC32" s="694">
        <f>AC31+AC29+AC22</f>
        <v>55.26435249660326</v>
      </c>
    </row>
    <row r="33" spans="1:29" ht="13.5" thickBot="1">
      <c r="A33" s="329"/>
      <c r="B33" s="338"/>
      <c r="C33" s="322"/>
      <c r="D33" s="361"/>
      <c r="E33" s="319"/>
      <c r="F33" s="329"/>
      <c r="G33" s="338"/>
      <c r="H33" s="322"/>
      <c r="I33" s="361"/>
      <c r="J33" s="319"/>
      <c r="K33" s="329"/>
      <c r="L33" s="338"/>
      <c r="M33" s="322"/>
      <c r="N33" s="361"/>
      <c r="O33" s="319"/>
      <c r="P33" s="329"/>
      <c r="Q33" s="338"/>
      <c r="R33" s="322"/>
      <c r="S33" s="361"/>
      <c r="T33" s="319"/>
      <c r="U33" s="329"/>
      <c r="V33" s="338"/>
      <c r="W33" s="322"/>
      <c r="X33" s="361"/>
      <c r="Y33" s="319"/>
      <c r="Z33" s="329"/>
      <c r="AA33" s="338"/>
      <c r="AB33" s="322"/>
      <c r="AC33" s="361"/>
    </row>
    <row r="34" spans="1:29" ht="15.75">
      <c r="A34" s="684" t="s">
        <v>453</v>
      </c>
      <c r="B34" s="689"/>
      <c r="C34" s="689"/>
      <c r="D34" s="489"/>
      <c r="E34" s="319"/>
      <c r="F34" s="684" t="s">
        <v>453</v>
      </c>
      <c r="G34" s="689"/>
      <c r="H34" s="689"/>
      <c r="I34" s="489"/>
      <c r="J34" s="319"/>
      <c r="K34" s="684" t="s">
        <v>453</v>
      </c>
      <c r="L34" s="689"/>
      <c r="M34" s="689"/>
      <c r="N34" s="489"/>
      <c r="O34" s="319"/>
      <c r="P34" s="684" t="s">
        <v>453</v>
      </c>
      <c r="Q34" s="689"/>
      <c r="R34" s="689"/>
      <c r="S34" s="489"/>
      <c r="T34" s="319"/>
      <c r="U34" s="684" t="s">
        <v>453</v>
      </c>
      <c r="V34" s="689"/>
      <c r="W34" s="689"/>
      <c r="X34" s="489"/>
      <c r="Y34" s="319"/>
      <c r="Z34" s="684" t="s">
        <v>453</v>
      </c>
      <c r="AA34" s="689"/>
      <c r="AB34" s="689"/>
      <c r="AC34" s="489"/>
    </row>
    <row r="35" spans="1:29" ht="12.75">
      <c r="A35" s="634" t="s">
        <v>14</v>
      </c>
      <c r="B35" s="484" t="s">
        <v>85</v>
      </c>
      <c r="C35" s="484"/>
      <c r="D35" s="698">
        <f>'2. COST VARIABLES'!C7</f>
        <v>0.98</v>
      </c>
      <c r="E35" s="319"/>
      <c r="F35" s="634" t="s">
        <v>14</v>
      </c>
      <c r="G35" s="484" t="s">
        <v>85</v>
      </c>
      <c r="H35" s="484"/>
      <c r="I35" s="698">
        <f>'2. COST VARIABLES'!C7</f>
        <v>0.98</v>
      </c>
      <c r="J35" s="319"/>
      <c r="K35" s="634" t="s">
        <v>14</v>
      </c>
      <c r="L35" s="484" t="s">
        <v>85</v>
      </c>
      <c r="M35" s="484"/>
      <c r="N35" s="698">
        <f>'2. COST VARIABLES'!C7</f>
        <v>0.98</v>
      </c>
      <c r="O35" s="319"/>
      <c r="P35" s="634" t="s">
        <v>14</v>
      </c>
      <c r="Q35" s="484" t="s">
        <v>85</v>
      </c>
      <c r="R35" s="484"/>
      <c r="S35" s="698">
        <f>'2. COST VARIABLES'!C7</f>
        <v>0.98</v>
      </c>
      <c r="T35" s="319"/>
      <c r="U35" s="634" t="s">
        <v>14</v>
      </c>
      <c r="V35" s="484" t="s">
        <v>85</v>
      </c>
      <c r="W35" s="484"/>
      <c r="X35" s="698">
        <f>'2. COST VARIABLES'!C7</f>
        <v>0.98</v>
      </c>
      <c r="Y35" s="319"/>
      <c r="Z35" s="634" t="s">
        <v>14</v>
      </c>
      <c r="AA35" s="484" t="s">
        <v>85</v>
      </c>
      <c r="AB35" s="484"/>
      <c r="AC35" s="698">
        <f>'2. COST VARIABLES'!C7</f>
        <v>0.98</v>
      </c>
    </row>
    <row r="36" spans="1:29" ht="12.75">
      <c r="A36" s="483"/>
      <c r="B36" s="484" t="s">
        <v>449</v>
      </c>
      <c r="C36" s="697" t="s">
        <v>149</v>
      </c>
      <c r="D36" s="477">
        <v>0.11</v>
      </c>
      <c r="E36" s="319"/>
      <c r="F36" s="483"/>
      <c r="G36" s="484" t="s">
        <v>449</v>
      </c>
      <c r="H36" s="697" t="s">
        <v>149</v>
      </c>
      <c r="I36" s="477">
        <v>0.22</v>
      </c>
      <c r="J36" s="319"/>
      <c r="K36" s="483"/>
      <c r="L36" s="484" t="s">
        <v>449</v>
      </c>
      <c r="M36" s="697" t="s">
        <v>149</v>
      </c>
      <c r="N36" s="477">
        <v>0.15</v>
      </c>
      <c r="O36" s="319"/>
      <c r="P36" s="483"/>
      <c r="Q36" s="484" t="s">
        <v>449</v>
      </c>
      <c r="R36" s="697" t="s">
        <v>149</v>
      </c>
      <c r="S36" s="477">
        <v>0.16</v>
      </c>
      <c r="T36" s="319"/>
      <c r="U36" s="483"/>
      <c r="V36" s="484" t="s">
        <v>449</v>
      </c>
      <c r="W36" s="697" t="s">
        <v>149</v>
      </c>
      <c r="X36" s="477">
        <v>0.16</v>
      </c>
      <c r="Y36" s="319"/>
      <c r="Z36" s="483"/>
      <c r="AA36" s="484" t="s">
        <v>449</v>
      </c>
      <c r="AB36" s="697" t="s">
        <v>149</v>
      </c>
      <c r="AC36" s="477">
        <v>0.16</v>
      </c>
    </row>
    <row r="37" spans="1:29" ht="12.75">
      <c r="A37" s="483"/>
      <c r="B37" s="641" t="s">
        <v>450</v>
      </c>
      <c r="C37" s="835" t="s">
        <v>451</v>
      </c>
      <c r="D37" s="694">
        <f>D36*D7*D35*D10</f>
        <v>215.38440000000003</v>
      </c>
      <c r="E37" s="319"/>
      <c r="F37" s="483"/>
      <c r="G37" s="641" t="s">
        <v>450</v>
      </c>
      <c r="H37" s="835" t="s">
        <v>451</v>
      </c>
      <c r="I37" s="694">
        <f>I36*I7*I35*I10</f>
        <v>284.592</v>
      </c>
      <c r="J37" s="319"/>
      <c r="K37" s="483"/>
      <c r="L37" s="641" t="s">
        <v>450</v>
      </c>
      <c r="M37" s="835" t="s">
        <v>451</v>
      </c>
      <c r="N37" s="694">
        <f>N36*N7*N35*N10</f>
        <v>188.16</v>
      </c>
      <c r="O37" s="319"/>
      <c r="P37" s="483"/>
      <c r="Q37" s="641" t="s">
        <v>450</v>
      </c>
      <c r="R37" s="835" t="s">
        <v>451</v>
      </c>
      <c r="S37" s="694">
        <f>S36*S7*S35*S10</f>
        <v>179.928</v>
      </c>
      <c r="T37" s="319"/>
      <c r="U37" s="483"/>
      <c r="V37" s="641" t="s">
        <v>450</v>
      </c>
      <c r="W37" s="835" t="s">
        <v>451</v>
      </c>
      <c r="X37" s="694">
        <f>X36*X7*X35*X10</f>
        <v>37.632000000000005</v>
      </c>
      <c r="Y37" s="319"/>
      <c r="Z37" s="483"/>
      <c r="AA37" s="641" t="s">
        <v>450</v>
      </c>
      <c r="AB37" s="835" t="s">
        <v>451</v>
      </c>
      <c r="AC37" s="694">
        <f>AC36*AC7*AC35*AC10</f>
        <v>0</v>
      </c>
    </row>
    <row r="38" spans="1:29" ht="12.75">
      <c r="A38" s="634" t="s">
        <v>97</v>
      </c>
      <c r="B38" s="484" t="s">
        <v>454</v>
      </c>
      <c r="C38" s="484"/>
      <c r="D38" s="814">
        <v>0.2</v>
      </c>
      <c r="E38" s="319"/>
      <c r="F38" s="634" t="s">
        <v>97</v>
      </c>
      <c r="G38" s="484" t="s">
        <v>454</v>
      </c>
      <c r="H38" s="484"/>
      <c r="I38" s="814">
        <v>0.35</v>
      </c>
      <c r="J38" s="319"/>
      <c r="K38" s="634" t="s">
        <v>97</v>
      </c>
      <c r="L38" s="484" t="s">
        <v>454</v>
      </c>
      <c r="M38" s="484"/>
      <c r="N38" s="814">
        <v>0.15</v>
      </c>
      <c r="O38" s="319"/>
      <c r="P38" s="634" t="s">
        <v>97</v>
      </c>
      <c r="Q38" s="484" t="s">
        <v>454</v>
      </c>
      <c r="R38" s="484"/>
      <c r="S38" s="814">
        <v>0.15</v>
      </c>
      <c r="T38" s="319"/>
      <c r="U38" s="634" t="s">
        <v>97</v>
      </c>
      <c r="V38" s="484" t="s">
        <v>454</v>
      </c>
      <c r="W38" s="484"/>
      <c r="X38" s="814">
        <v>0.15</v>
      </c>
      <c r="Y38" s="319"/>
      <c r="Z38" s="634" t="s">
        <v>97</v>
      </c>
      <c r="AA38" s="484" t="s">
        <v>454</v>
      </c>
      <c r="AB38" s="484" t="s">
        <v>416</v>
      </c>
      <c r="AC38" s="814">
        <v>0</v>
      </c>
    </row>
    <row r="39" spans="1:29" ht="12.75">
      <c r="A39" s="483"/>
      <c r="B39" s="641" t="s">
        <v>455</v>
      </c>
      <c r="C39" s="835" t="s">
        <v>451</v>
      </c>
      <c r="D39" s="694">
        <f>D37*D38</f>
        <v>43.07688000000001</v>
      </c>
      <c r="E39" s="319"/>
      <c r="F39" s="483"/>
      <c r="G39" s="641" t="s">
        <v>455</v>
      </c>
      <c r="H39" s="835" t="s">
        <v>451</v>
      </c>
      <c r="I39" s="694">
        <f>I37*I38</f>
        <v>99.60719999999999</v>
      </c>
      <c r="J39" s="319"/>
      <c r="K39" s="483"/>
      <c r="L39" s="641" t="s">
        <v>455</v>
      </c>
      <c r="M39" s="835" t="s">
        <v>451</v>
      </c>
      <c r="N39" s="694">
        <f>N37*N38</f>
        <v>28.224</v>
      </c>
      <c r="O39" s="319"/>
      <c r="P39" s="483"/>
      <c r="Q39" s="641" t="s">
        <v>455</v>
      </c>
      <c r="R39" s="835" t="s">
        <v>451</v>
      </c>
      <c r="S39" s="694">
        <f>S37*S38</f>
        <v>26.9892</v>
      </c>
      <c r="T39" s="319"/>
      <c r="U39" s="483"/>
      <c r="V39" s="641" t="s">
        <v>455</v>
      </c>
      <c r="W39" s="835" t="s">
        <v>451</v>
      </c>
      <c r="X39" s="694">
        <f>X37*X38</f>
        <v>5.644800000000001</v>
      </c>
      <c r="Y39" s="319"/>
      <c r="Z39" s="483"/>
      <c r="AA39" s="641" t="s">
        <v>455</v>
      </c>
      <c r="AB39" s="835" t="s">
        <v>451</v>
      </c>
      <c r="AC39" s="694">
        <f>AC37*AC38</f>
        <v>0</v>
      </c>
    </row>
    <row r="40" spans="1:29" ht="12.75">
      <c r="A40" s="634" t="s">
        <v>194</v>
      </c>
      <c r="B40" s="484" t="s">
        <v>89</v>
      </c>
      <c r="C40" s="484"/>
      <c r="D40" s="814">
        <v>0.5</v>
      </c>
      <c r="E40" s="319"/>
      <c r="F40" s="634" t="s">
        <v>194</v>
      </c>
      <c r="G40" s="484" t="s">
        <v>89</v>
      </c>
      <c r="H40" s="484"/>
      <c r="I40" s="814">
        <v>0.7</v>
      </c>
      <c r="J40" s="319"/>
      <c r="K40" s="634" t="s">
        <v>194</v>
      </c>
      <c r="L40" s="484" t="s">
        <v>89</v>
      </c>
      <c r="M40" s="484"/>
      <c r="N40" s="814">
        <v>0.6</v>
      </c>
      <c r="O40" s="319"/>
      <c r="P40" s="634" t="s">
        <v>194</v>
      </c>
      <c r="Q40" s="484" t="s">
        <v>89</v>
      </c>
      <c r="R40" s="484"/>
      <c r="S40" s="814">
        <v>0.7</v>
      </c>
      <c r="T40" s="319"/>
      <c r="U40" s="634" t="s">
        <v>194</v>
      </c>
      <c r="V40" s="484" t="s">
        <v>89</v>
      </c>
      <c r="W40" s="484"/>
      <c r="X40" s="814">
        <v>1</v>
      </c>
      <c r="Y40" s="319"/>
      <c r="Z40" s="634" t="s">
        <v>194</v>
      </c>
      <c r="AA40" s="484" t="s">
        <v>89</v>
      </c>
      <c r="AB40" s="484"/>
      <c r="AC40" s="814">
        <v>1</v>
      </c>
    </row>
    <row r="41" spans="1:29" ht="12.75">
      <c r="A41" s="483"/>
      <c r="B41" s="641" t="s">
        <v>98</v>
      </c>
      <c r="C41" s="484"/>
      <c r="D41" s="694">
        <f>(D40*D21)/D9</f>
        <v>116.4375</v>
      </c>
      <c r="E41" s="319"/>
      <c r="F41" s="483"/>
      <c r="G41" s="641" t="s">
        <v>98</v>
      </c>
      <c r="H41" s="484"/>
      <c r="I41" s="694">
        <f>(I40*I21)/I9</f>
        <v>305.2</v>
      </c>
      <c r="J41" s="319"/>
      <c r="K41" s="483"/>
      <c r="L41" s="641" t="s">
        <v>98</v>
      </c>
      <c r="M41" s="484"/>
      <c r="N41" s="694">
        <f>(N40*N21)/N9</f>
        <v>127.67999999999999</v>
      </c>
      <c r="O41" s="319"/>
      <c r="P41" s="483"/>
      <c r="Q41" s="641" t="s">
        <v>98</v>
      </c>
      <c r="R41" s="484"/>
      <c r="S41" s="694">
        <f>(S40*S21)/S9</f>
        <v>158.26124999999996</v>
      </c>
      <c r="T41" s="319"/>
      <c r="U41" s="483"/>
      <c r="V41" s="641" t="s">
        <v>98</v>
      </c>
      <c r="W41" s="484"/>
      <c r="X41" s="694">
        <f>(X40*X21)/X9</f>
        <v>15.6</v>
      </c>
      <c r="Y41" s="319"/>
      <c r="Z41" s="483"/>
      <c r="AA41" s="641" t="s">
        <v>98</v>
      </c>
      <c r="AB41" s="484"/>
      <c r="AC41" s="694">
        <f>(AC40*AC21)/AC9</f>
        <v>34.171875</v>
      </c>
    </row>
    <row r="42" spans="1:29" ht="12.75">
      <c r="A42" s="483"/>
      <c r="B42" s="641" t="s">
        <v>15</v>
      </c>
      <c r="C42" s="484"/>
      <c r="D42" s="694">
        <f>(D20/D19)*D10</f>
        <v>20.25</v>
      </c>
      <c r="E42" s="319"/>
      <c r="F42" s="483"/>
      <c r="G42" s="641" t="s">
        <v>15</v>
      </c>
      <c r="H42" s="484"/>
      <c r="I42" s="694">
        <f>(I20/I19)*I10</f>
        <v>53.333333333333336</v>
      </c>
      <c r="J42" s="319"/>
      <c r="K42" s="483"/>
      <c r="L42" s="641" t="s">
        <v>15</v>
      </c>
      <c r="M42" s="484"/>
      <c r="N42" s="694">
        <f>(N20/N19)*N10</f>
        <v>64</v>
      </c>
      <c r="O42" s="319"/>
      <c r="P42" s="483"/>
      <c r="Q42" s="641" t="s">
        <v>15</v>
      </c>
      <c r="R42" s="484"/>
      <c r="S42" s="694">
        <f>(S20/S19)*S10</f>
        <v>41.85</v>
      </c>
      <c r="T42" s="319"/>
      <c r="U42" s="483"/>
      <c r="V42" s="641" t="s">
        <v>15</v>
      </c>
      <c r="W42" s="484"/>
      <c r="X42" s="694">
        <f>(X20/X19)*X10</f>
        <v>4</v>
      </c>
      <c r="Y42" s="319"/>
      <c r="Z42" s="483"/>
      <c r="AA42" s="641" t="s">
        <v>15</v>
      </c>
      <c r="AB42" s="484"/>
      <c r="AC42" s="694">
        <f>(AC20/AC19)*AC10</f>
        <v>0</v>
      </c>
    </row>
    <row r="43" spans="1:29" ht="13.5" thickBot="1">
      <c r="A43" s="485"/>
      <c r="B43" s="836" t="s">
        <v>150</v>
      </c>
      <c r="C43" s="486"/>
      <c r="D43" s="837">
        <f>'4. ROPES &amp; RIGGING'!F2*'3. MACHINES'!D10</f>
        <v>189.13162499999999</v>
      </c>
      <c r="E43" s="319"/>
      <c r="F43" s="485"/>
      <c r="G43" s="836" t="s">
        <v>150</v>
      </c>
      <c r="H43" s="486"/>
      <c r="I43" s="837">
        <f>I10*'4. ROPES &amp; RIGGING'!M2</f>
        <v>0</v>
      </c>
      <c r="J43" s="319"/>
      <c r="K43" s="485"/>
      <c r="L43" s="836" t="s">
        <v>150</v>
      </c>
      <c r="M43" s="486"/>
      <c r="N43" s="837">
        <f>N10*'4. ROPES &amp; RIGGING'!T2</f>
        <v>0</v>
      </c>
      <c r="O43" s="319"/>
      <c r="P43" s="485"/>
      <c r="Q43" s="836" t="s">
        <v>150</v>
      </c>
      <c r="R43" s="486"/>
      <c r="S43" s="837">
        <v>0</v>
      </c>
      <c r="T43" s="319"/>
      <c r="U43" s="485"/>
      <c r="V43" s="836" t="s">
        <v>150</v>
      </c>
      <c r="W43" s="486"/>
      <c r="X43" s="837">
        <v>0</v>
      </c>
      <c r="Y43" s="319"/>
      <c r="Z43" s="485"/>
      <c r="AA43" s="836" t="s">
        <v>150</v>
      </c>
      <c r="AB43" s="486"/>
      <c r="AC43" s="837">
        <v>0</v>
      </c>
    </row>
    <row r="44" spans="1:29" ht="13.5" thickBot="1">
      <c r="A44" s="546" t="s">
        <v>457</v>
      </c>
      <c r="B44" s="547"/>
      <c r="C44" s="547"/>
      <c r="D44" s="699">
        <f>D43+D42+D41+D39+D37</f>
        <v>584.280405</v>
      </c>
      <c r="E44" s="319"/>
      <c r="F44" s="546" t="s">
        <v>457</v>
      </c>
      <c r="G44" s="547"/>
      <c r="H44" s="547"/>
      <c r="I44" s="699">
        <f>I43+I42+I41+I39+I37</f>
        <v>742.7325333333333</v>
      </c>
      <c r="J44" s="319"/>
      <c r="K44" s="546" t="s">
        <v>457</v>
      </c>
      <c r="L44" s="547"/>
      <c r="M44" s="547"/>
      <c r="N44" s="699">
        <f>N43+N42+N41+N39+N37</f>
        <v>408.06399999999996</v>
      </c>
      <c r="O44" s="319"/>
      <c r="P44" s="546" t="s">
        <v>457</v>
      </c>
      <c r="Q44" s="547"/>
      <c r="R44" s="547"/>
      <c r="S44" s="699">
        <f>S43+S42+S41+S39+S37</f>
        <v>407.02844999999996</v>
      </c>
      <c r="T44" s="319"/>
      <c r="U44" s="546" t="s">
        <v>457</v>
      </c>
      <c r="V44" s="547"/>
      <c r="W44" s="547"/>
      <c r="X44" s="699">
        <f>X43+X42+X41+X39+X37</f>
        <v>62.8768</v>
      </c>
      <c r="Y44" s="319"/>
      <c r="Z44" s="546" t="s">
        <v>457</v>
      </c>
      <c r="AA44" s="547"/>
      <c r="AB44" s="547"/>
      <c r="AC44" s="699">
        <f>AC43+AC42+AC41+AC39+AC37</f>
        <v>34.171875</v>
      </c>
    </row>
    <row r="45" spans="1:29" ht="13.5" thickBot="1">
      <c r="A45" s="354"/>
      <c r="B45" s="355"/>
      <c r="C45" s="355"/>
      <c r="D45" s="364"/>
      <c r="E45" s="319"/>
      <c r="F45" s="354"/>
      <c r="G45" s="355"/>
      <c r="H45" s="355"/>
      <c r="I45" s="364"/>
      <c r="J45" s="319"/>
      <c r="K45" s="354"/>
      <c r="L45" s="355"/>
      <c r="M45" s="355"/>
      <c r="N45" s="364"/>
      <c r="O45" s="319"/>
      <c r="P45" s="354"/>
      <c r="Q45" s="355"/>
      <c r="R45" s="355"/>
      <c r="S45" s="364"/>
      <c r="T45" s="319"/>
      <c r="U45" s="354"/>
      <c r="V45" s="355"/>
      <c r="W45" s="355"/>
      <c r="X45" s="364"/>
      <c r="Y45" s="319"/>
      <c r="Z45" s="354"/>
      <c r="AA45" s="355"/>
      <c r="AB45" s="355"/>
      <c r="AC45" s="364"/>
    </row>
    <row r="46" spans="1:29" ht="16.5" thickBot="1">
      <c r="A46" s="548" t="s">
        <v>458</v>
      </c>
      <c r="B46" s="700"/>
      <c r="C46" s="700"/>
      <c r="D46" s="699">
        <f>D44+D32</f>
        <v>1095.848424701087</v>
      </c>
      <c r="E46" s="319"/>
      <c r="F46" s="548" t="s">
        <v>458</v>
      </c>
      <c r="G46" s="700"/>
      <c r="H46" s="700"/>
      <c r="I46" s="699">
        <f>I44+I32</f>
        <v>1481.7540550724639</v>
      </c>
      <c r="J46" s="319"/>
      <c r="K46" s="548" t="s">
        <v>458</v>
      </c>
      <c r="L46" s="700"/>
      <c r="M46" s="700"/>
      <c r="N46" s="699">
        <f>N44+N32</f>
        <v>779.3675652173913</v>
      </c>
      <c r="O46" s="319"/>
      <c r="P46" s="548" t="s">
        <v>458</v>
      </c>
      <c r="Q46" s="700"/>
      <c r="R46" s="700"/>
      <c r="S46" s="699">
        <f>S44+S32</f>
        <v>801.0586045516304</v>
      </c>
      <c r="T46" s="319"/>
      <c r="U46" s="548" t="s">
        <v>458</v>
      </c>
      <c r="V46" s="700"/>
      <c r="W46" s="700"/>
      <c r="X46" s="699">
        <f>X44+X32</f>
        <v>104.4977347826087</v>
      </c>
      <c r="Y46" s="319"/>
      <c r="Z46" s="548" t="s">
        <v>458</v>
      </c>
      <c r="AA46" s="700"/>
      <c r="AB46" s="700"/>
      <c r="AC46" s="699">
        <f>AC44+AC32</f>
        <v>89.43622749660327</v>
      </c>
    </row>
    <row r="47" spans="1:31" ht="13.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51"/>
      <c r="AE47" s="51"/>
    </row>
    <row r="48" spans="1:31" ht="13.5" thickBot="1">
      <c r="A48" s="546" t="s">
        <v>526</v>
      </c>
      <c r="B48" s="652"/>
      <c r="C48" s="652"/>
      <c r="D48" s="701">
        <f>D46/D10</f>
        <v>162.3479147705314</v>
      </c>
      <c r="E48" s="51"/>
      <c r="F48" s="546" t="s">
        <v>526</v>
      </c>
      <c r="G48" s="652"/>
      <c r="H48" s="652"/>
      <c r="I48" s="701">
        <f>I46/I10</f>
        <v>185.21925688405798</v>
      </c>
      <c r="J48" s="4"/>
      <c r="K48" s="546" t="s">
        <v>526</v>
      </c>
      <c r="L48" s="652"/>
      <c r="M48" s="652"/>
      <c r="N48" s="701">
        <f>N46/N10</f>
        <v>97.42094565217391</v>
      </c>
      <c r="O48" s="4"/>
      <c r="P48" s="546" t="s">
        <v>526</v>
      </c>
      <c r="Q48" s="652"/>
      <c r="R48" s="652"/>
      <c r="S48" s="701">
        <f>S46/S10</f>
        <v>118.67534882246376</v>
      </c>
      <c r="T48" s="4"/>
      <c r="U48" s="546" t="s">
        <v>526</v>
      </c>
      <c r="V48" s="652"/>
      <c r="W48" s="652"/>
      <c r="X48" s="701">
        <f>X46/X10</f>
        <v>69.66515652173914</v>
      </c>
      <c r="Y48" s="4"/>
      <c r="Z48" s="546" t="s">
        <v>526</v>
      </c>
      <c r="AA48" s="652"/>
      <c r="AB48" s="652"/>
      <c r="AC48" s="701">
        <f>AC46/AC10</f>
        <v>13.249811480978261</v>
      </c>
      <c r="AD48" s="51"/>
      <c r="AE48" s="51"/>
    </row>
    <row r="49" spans="5:31" ht="13.5" thickBot="1">
      <c r="E49" s="51"/>
      <c r="J49" s="4"/>
      <c r="O49" s="4"/>
      <c r="T49" s="4"/>
      <c r="Y49" s="4"/>
      <c r="AD49" s="51"/>
      <c r="AE49" s="51"/>
    </row>
    <row r="50" spans="1:31" ht="12.75">
      <c r="A50" s="411" t="s">
        <v>618</v>
      </c>
      <c r="B50" s="203"/>
      <c r="C50" s="203"/>
      <c r="D50" s="204"/>
      <c r="E50" s="51"/>
      <c r="F50" s="411" t="s">
        <v>618</v>
      </c>
      <c r="G50" s="203"/>
      <c r="H50" s="203"/>
      <c r="I50" s="204"/>
      <c r="J50" s="4"/>
      <c r="K50" s="411" t="s">
        <v>618</v>
      </c>
      <c r="L50" s="203"/>
      <c r="M50" s="203"/>
      <c r="N50" s="204"/>
      <c r="O50" s="4"/>
      <c r="P50" s="411" t="s">
        <v>618</v>
      </c>
      <c r="Q50" s="203"/>
      <c r="R50" s="203"/>
      <c r="S50" s="204"/>
      <c r="T50" s="4"/>
      <c r="U50" s="411" t="s">
        <v>618</v>
      </c>
      <c r="V50" s="203"/>
      <c r="W50" s="203"/>
      <c r="X50" s="204"/>
      <c r="Y50" s="4"/>
      <c r="Z50" s="411" t="s">
        <v>618</v>
      </c>
      <c r="AA50" s="203"/>
      <c r="AB50" s="203"/>
      <c r="AC50" s="204"/>
      <c r="AD50" s="51"/>
      <c r="AE50" s="51"/>
    </row>
    <row r="51" spans="1:31" ht="12.75">
      <c r="A51" s="205" t="s">
        <v>522</v>
      </c>
      <c r="B51" s="51"/>
      <c r="C51" s="51">
        <v>0.11</v>
      </c>
      <c r="D51" s="207" t="s">
        <v>149</v>
      </c>
      <c r="E51" s="51"/>
      <c r="F51" s="205" t="s">
        <v>522</v>
      </c>
      <c r="G51" s="51"/>
      <c r="H51" s="51">
        <v>0.11</v>
      </c>
      <c r="I51" s="207" t="s">
        <v>149</v>
      </c>
      <c r="J51" s="4"/>
      <c r="K51" s="205" t="s">
        <v>522</v>
      </c>
      <c r="L51" s="51"/>
      <c r="M51" s="51">
        <v>0.11</v>
      </c>
      <c r="N51" s="207" t="s">
        <v>149</v>
      </c>
      <c r="O51" s="4"/>
      <c r="P51" s="205" t="s">
        <v>522</v>
      </c>
      <c r="Q51" s="51"/>
      <c r="R51" s="51">
        <v>0.11</v>
      </c>
      <c r="S51" s="207" t="s">
        <v>149</v>
      </c>
      <c r="T51" s="4"/>
      <c r="U51" s="205" t="s">
        <v>522</v>
      </c>
      <c r="V51" s="51"/>
      <c r="W51" s="51">
        <v>0.11</v>
      </c>
      <c r="X51" s="207" t="s">
        <v>149</v>
      </c>
      <c r="Y51" s="4"/>
      <c r="Z51" s="205" t="s">
        <v>522</v>
      </c>
      <c r="AA51" s="51"/>
      <c r="AB51" s="51">
        <v>0.11</v>
      </c>
      <c r="AC51" s="207" t="s">
        <v>149</v>
      </c>
      <c r="AD51" s="51"/>
      <c r="AE51" s="51"/>
    </row>
    <row r="52" spans="1:31" ht="12.75">
      <c r="A52" s="205" t="s">
        <v>523</v>
      </c>
      <c r="B52" s="51"/>
      <c r="C52" s="51">
        <v>0.16</v>
      </c>
      <c r="D52" s="207" t="s">
        <v>149</v>
      </c>
      <c r="F52" s="205" t="s">
        <v>523</v>
      </c>
      <c r="G52" s="51"/>
      <c r="H52" s="51">
        <v>0.16</v>
      </c>
      <c r="I52" s="207" t="s">
        <v>149</v>
      </c>
      <c r="J52" s="4"/>
      <c r="K52" s="205" t="s">
        <v>523</v>
      </c>
      <c r="L52" s="51"/>
      <c r="M52" s="51">
        <v>0.16</v>
      </c>
      <c r="N52" s="207" t="s">
        <v>149</v>
      </c>
      <c r="O52" s="4"/>
      <c r="P52" s="205" t="s">
        <v>523</v>
      </c>
      <c r="Q52" s="51"/>
      <c r="R52" s="51">
        <v>0.16</v>
      </c>
      <c r="S52" s="207" t="s">
        <v>149</v>
      </c>
      <c r="T52" s="4"/>
      <c r="U52" s="205" t="s">
        <v>523</v>
      </c>
      <c r="V52" s="51"/>
      <c r="W52" s="51">
        <v>0.16</v>
      </c>
      <c r="X52" s="207" t="s">
        <v>149</v>
      </c>
      <c r="Y52" s="4"/>
      <c r="Z52" s="205" t="s">
        <v>523</v>
      </c>
      <c r="AA52" s="51"/>
      <c r="AB52" s="51">
        <v>0.16</v>
      </c>
      <c r="AC52" s="207" t="s">
        <v>149</v>
      </c>
      <c r="AD52" s="51"/>
      <c r="AE52" s="51"/>
    </row>
    <row r="53" spans="1:31" ht="13.5" thickBot="1">
      <c r="A53" s="413" t="s">
        <v>524</v>
      </c>
      <c r="B53" s="209"/>
      <c r="C53" s="209">
        <v>0.22</v>
      </c>
      <c r="D53" s="210" t="s">
        <v>149</v>
      </c>
      <c r="F53" s="413" t="s">
        <v>524</v>
      </c>
      <c r="G53" s="209"/>
      <c r="H53" s="209">
        <v>0.22</v>
      </c>
      <c r="I53" s="210" t="s">
        <v>149</v>
      </c>
      <c r="J53" s="4"/>
      <c r="K53" s="413" t="s">
        <v>524</v>
      </c>
      <c r="L53" s="209"/>
      <c r="M53" s="209">
        <v>0.22</v>
      </c>
      <c r="N53" s="210" t="s">
        <v>149</v>
      </c>
      <c r="O53" s="4"/>
      <c r="P53" s="413" t="s">
        <v>524</v>
      </c>
      <c r="Q53" s="209"/>
      <c r="R53" s="209">
        <v>0.22</v>
      </c>
      <c r="S53" s="210" t="s">
        <v>149</v>
      </c>
      <c r="T53" s="4"/>
      <c r="U53" s="413" t="s">
        <v>524</v>
      </c>
      <c r="V53" s="209"/>
      <c r="W53" s="209">
        <v>0.22</v>
      </c>
      <c r="X53" s="210" t="s">
        <v>149</v>
      </c>
      <c r="Y53" s="4"/>
      <c r="Z53" s="413" t="s">
        <v>524</v>
      </c>
      <c r="AA53" s="209"/>
      <c r="AB53" s="209">
        <v>0.22</v>
      </c>
      <c r="AC53" s="210" t="s">
        <v>149</v>
      </c>
      <c r="AD53" s="51"/>
      <c r="AE53" s="51"/>
    </row>
    <row r="54" spans="1:31" ht="12.75">
      <c r="A54" s="414"/>
      <c r="B54" s="4"/>
      <c r="C54" s="4"/>
      <c r="D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51"/>
      <c r="AE54" s="51"/>
    </row>
    <row r="55" spans="1:8" ht="12.75">
      <c r="A55" s="4"/>
      <c r="B55" s="4"/>
      <c r="C55" s="4"/>
      <c r="D55" s="4"/>
      <c r="H55" s="4"/>
    </row>
    <row r="56" spans="1:8" ht="15.75">
      <c r="A56" s="415"/>
      <c r="B56" s="4"/>
      <c r="C56" s="416"/>
      <c r="D56" s="416"/>
      <c r="H56" s="4"/>
    </row>
    <row r="57" spans="1:8" ht="12.75">
      <c r="A57" s="4"/>
      <c r="B57" s="4"/>
      <c r="C57" s="4"/>
      <c r="D57" s="416"/>
      <c r="H57" s="4"/>
    </row>
    <row r="58" spans="1:8" ht="12.75">
      <c r="A58" s="4"/>
      <c r="B58" s="417"/>
      <c r="C58" s="417"/>
      <c r="D58" s="417"/>
      <c r="H58" s="4"/>
    </row>
    <row r="59" spans="1:8" ht="12.75">
      <c r="A59" s="4"/>
      <c r="B59" s="417"/>
      <c r="C59" s="417"/>
      <c r="D59" s="417"/>
      <c r="H59" s="4"/>
    </row>
    <row r="60" spans="1:8" ht="12.75">
      <c r="A60" s="4"/>
      <c r="B60" s="417"/>
      <c r="C60" s="417"/>
      <c r="D60" s="417"/>
      <c r="H60" s="4"/>
    </row>
    <row r="61" spans="1:8" ht="12.75">
      <c r="A61" s="4"/>
      <c r="B61" s="417"/>
      <c r="C61" s="417"/>
      <c r="D61" s="417"/>
      <c r="H61" s="4"/>
    </row>
    <row r="62" spans="1:8" ht="12.75">
      <c r="A62" s="4"/>
      <c r="B62" s="417"/>
      <c r="C62" s="417"/>
      <c r="D62" s="417"/>
      <c r="H62" s="4"/>
    </row>
    <row r="63" spans="1:8" ht="12.75">
      <c r="A63" s="4"/>
      <c r="B63" s="417"/>
      <c r="C63" s="417"/>
      <c r="D63" s="417"/>
      <c r="H63" s="4"/>
    </row>
    <row r="64" spans="1:8" ht="12.75">
      <c r="A64" s="4"/>
      <c r="B64" s="417"/>
      <c r="C64" s="417"/>
      <c r="D64" s="417"/>
      <c r="H64" s="4"/>
    </row>
    <row r="65" spans="1:8" ht="12.75">
      <c r="A65" s="4"/>
      <c r="B65" s="417"/>
      <c r="C65" s="417"/>
      <c r="D65" s="417"/>
      <c r="H65" s="4"/>
    </row>
    <row r="66" spans="1:8" ht="12.75">
      <c r="A66" s="4"/>
      <c r="B66" s="4"/>
      <c r="C66" s="4"/>
      <c r="D66" s="4"/>
      <c r="H66" s="4"/>
    </row>
    <row r="67" spans="1:8" ht="12.75">
      <c r="A67" s="4"/>
      <c r="B67" s="4"/>
      <c r="C67" s="4"/>
      <c r="D67" s="4"/>
      <c r="H67" s="4"/>
    </row>
    <row r="68" spans="1:8" ht="12.75">
      <c r="A68" s="4"/>
      <c r="B68" s="4"/>
      <c r="C68" s="4"/>
      <c r="D68" s="4"/>
      <c r="H68" s="4"/>
    </row>
    <row r="69" spans="1:8" ht="15.75">
      <c r="A69" s="418"/>
      <c r="B69" s="4"/>
      <c r="C69" s="416"/>
      <c r="D69" s="416"/>
      <c r="H69" s="4"/>
    </row>
    <row r="70" spans="1:8" ht="12.75">
      <c r="A70" s="416"/>
      <c r="B70" s="4"/>
      <c r="C70" s="416"/>
      <c r="D70" s="4"/>
      <c r="H70" s="4"/>
    </row>
    <row r="71" spans="1:8" ht="12.75">
      <c r="A71" s="4"/>
      <c r="B71" s="4"/>
      <c r="C71" s="419"/>
      <c r="D71" s="419"/>
      <c r="H71" s="4"/>
    </row>
    <row r="72" spans="1:8" ht="12.75">
      <c r="A72" s="4"/>
      <c r="B72" s="4"/>
      <c r="C72" s="419"/>
      <c r="D72" s="419"/>
      <c r="H72" s="4"/>
    </row>
    <row r="73" spans="1:8" ht="12.75">
      <c r="A73" s="4"/>
      <c r="B73" s="4"/>
      <c r="C73" s="419"/>
      <c r="D73" s="419"/>
      <c r="H73" s="4"/>
    </row>
    <row r="74" spans="1:8" ht="12.75">
      <c r="A74" s="4"/>
      <c r="B74" s="4"/>
      <c r="C74" s="419"/>
      <c r="D74" s="419"/>
      <c r="H74" s="4"/>
    </row>
    <row r="75" spans="1:8" ht="12.75">
      <c r="A75" s="4"/>
      <c r="B75" s="4"/>
      <c r="C75" s="419"/>
      <c r="D75" s="419"/>
      <c r="H75" s="4"/>
    </row>
    <row r="76" spans="1:8" ht="12.75">
      <c r="A76" s="4"/>
      <c r="B76" s="4"/>
      <c r="C76" s="419"/>
      <c r="D76" s="419"/>
      <c r="H76" s="4"/>
    </row>
    <row r="77" spans="1:8" ht="12.75">
      <c r="A77" s="4"/>
      <c r="B77" s="4"/>
      <c r="C77" s="419"/>
      <c r="D77" s="419"/>
      <c r="H77" s="4"/>
    </row>
    <row r="78" spans="1:8" ht="12.75">
      <c r="A78" s="4"/>
      <c r="B78" s="4"/>
      <c r="C78" s="419"/>
      <c r="D78" s="419"/>
      <c r="H78" s="4"/>
    </row>
    <row r="79" spans="1:8" ht="12.75">
      <c r="A79" s="4"/>
      <c r="B79" s="4"/>
      <c r="C79" s="419"/>
      <c r="D79" s="419"/>
      <c r="G79" s="4"/>
      <c r="H79" s="4"/>
    </row>
    <row r="80" spans="1:8" ht="12.75">
      <c r="A80" s="4"/>
      <c r="B80" s="4"/>
      <c r="C80" s="419"/>
      <c r="D80" s="419"/>
      <c r="E80" s="4"/>
      <c r="F80" s="4"/>
      <c r="G80" s="4"/>
      <c r="H80" s="4"/>
    </row>
    <row r="81" spans="1:8" ht="12.75">
      <c r="A81" s="4"/>
      <c r="B81" s="4"/>
      <c r="C81" s="419"/>
      <c r="D81" s="419"/>
      <c r="H81" s="4"/>
    </row>
    <row r="82" spans="1:4" ht="12.75">
      <c r="A82" s="4"/>
      <c r="B82" s="4"/>
      <c r="C82" s="419"/>
      <c r="D82" s="419"/>
    </row>
    <row r="83" spans="1:4" ht="12.75">
      <c r="A83" s="4"/>
      <c r="B83" s="4"/>
      <c r="C83" s="4"/>
      <c r="D83" s="4"/>
    </row>
  </sheetData>
  <sheetProtection password="8FA7" sheet="1" objects="1" scenarios="1"/>
  <mergeCells count="1">
    <mergeCell ref="A1:N1"/>
  </mergeCells>
  <printOptions horizontalCentered="1"/>
  <pageMargins left="0.75" right="0.75" top="0.39" bottom="0.65" header="0.35" footer="0.32"/>
  <pageSetup blackAndWhite="1" horizontalDpi="600" verticalDpi="600" orientation="portrait" paperSize="9" r:id="rId1"/>
  <colBreaks count="2" manualBreakCount="2">
    <brk id="5" max="65535" man="1"/>
    <brk id="9" min="3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9.7109375" style="0" customWidth="1"/>
    <col min="4" max="4" width="9.8515625" style="0" customWidth="1"/>
    <col min="8" max="8" width="10.7109375" style="0" customWidth="1"/>
    <col min="9" max="9" width="9.7109375" style="0" customWidth="1"/>
    <col min="15" max="15" width="10.8515625" style="0" customWidth="1"/>
    <col min="16" max="16" width="9.8515625" style="0" customWidth="1"/>
  </cols>
  <sheetData>
    <row r="1" spans="1:20" ht="13.5" thickBot="1">
      <c r="A1" s="546" t="str">
        <f>'3. MACHINES'!D6</f>
        <v>TSY355</v>
      </c>
      <c r="B1" s="547"/>
      <c r="C1" s="547"/>
      <c r="D1" s="547"/>
      <c r="E1" s="547"/>
      <c r="F1" s="702"/>
      <c r="H1" s="546" t="str">
        <f>'3. MACHINES'!I6</f>
        <v>ZX350 &amp; W 626</v>
      </c>
      <c r="I1" s="547"/>
      <c r="J1" s="547"/>
      <c r="K1" s="547"/>
      <c r="L1" s="547"/>
      <c r="M1" s="702"/>
      <c r="O1" s="546" t="str">
        <f>'3. MACHINES'!N6</f>
        <v>CAT 330 &amp; grapple</v>
      </c>
      <c r="P1" s="547"/>
      <c r="Q1" s="547"/>
      <c r="R1" s="547"/>
      <c r="S1" s="547"/>
      <c r="T1" s="702"/>
    </row>
    <row r="2" spans="1:20" ht="13.5" thickBot="1">
      <c r="A2" s="703" t="s">
        <v>151</v>
      </c>
      <c r="B2" s="704"/>
      <c r="C2" s="705"/>
      <c r="D2" s="706" t="s">
        <v>152</v>
      </c>
      <c r="E2" s="704"/>
      <c r="F2" s="838">
        <f>F14+F31</f>
        <v>28.019499999999997</v>
      </c>
      <c r="H2" s="703" t="s">
        <v>151</v>
      </c>
      <c r="I2" s="704"/>
      <c r="J2" s="705"/>
      <c r="K2" s="706" t="s">
        <v>152</v>
      </c>
      <c r="L2" s="704"/>
      <c r="M2" s="838">
        <f>M14+M31</f>
        <v>0</v>
      </c>
      <c r="O2" s="703" t="s">
        <v>151</v>
      </c>
      <c r="P2" s="704"/>
      <c r="Q2" s="705"/>
      <c r="R2" s="706" t="s">
        <v>152</v>
      </c>
      <c r="S2" s="704"/>
      <c r="T2" s="838">
        <f>T14+T31</f>
        <v>0</v>
      </c>
    </row>
    <row r="3" spans="1:20" ht="14.25" thickBot="1" thickTop="1">
      <c r="A3" s="483"/>
      <c r="B3" s="484"/>
      <c r="C3" s="715"/>
      <c r="D3" s="11"/>
      <c r="E3" s="11"/>
      <c r="F3" s="491"/>
      <c r="H3" s="483"/>
      <c r="I3" s="484"/>
      <c r="J3" s="715"/>
      <c r="K3" s="11"/>
      <c r="L3" s="11"/>
      <c r="M3" s="491"/>
      <c r="O3" s="483"/>
      <c r="P3" s="484"/>
      <c r="Q3" s="715"/>
      <c r="R3" s="11"/>
      <c r="S3" s="11"/>
      <c r="T3" s="491"/>
    </row>
    <row r="4" spans="1:20" ht="16.5" thickTop="1">
      <c r="A4" s="710" t="s">
        <v>153</v>
      </c>
      <c r="B4" s="711" t="s">
        <v>154</v>
      </c>
      <c r="C4" s="712" t="s">
        <v>155</v>
      </c>
      <c r="D4" s="712" t="s">
        <v>156</v>
      </c>
      <c r="E4" s="712" t="s">
        <v>52</v>
      </c>
      <c r="F4" s="707" t="s">
        <v>157</v>
      </c>
      <c r="H4" s="710" t="s">
        <v>153</v>
      </c>
      <c r="I4" s="711" t="s">
        <v>154</v>
      </c>
      <c r="J4" s="712" t="s">
        <v>155</v>
      </c>
      <c r="K4" s="712" t="s">
        <v>156</v>
      </c>
      <c r="L4" s="712" t="s">
        <v>52</v>
      </c>
      <c r="M4" s="707" t="s">
        <v>157</v>
      </c>
      <c r="O4" s="710" t="s">
        <v>153</v>
      </c>
      <c r="P4" s="711" t="s">
        <v>154</v>
      </c>
      <c r="Q4" s="712" t="s">
        <v>155</v>
      </c>
      <c r="R4" s="712" t="s">
        <v>156</v>
      </c>
      <c r="S4" s="712" t="s">
        <v>52</v>
      </c>
      <c r="T4" s="707" t="s">
        <v>157</v>
      </c>
    </row>
    <row r="5" spans="1:20" ht="12.75">
      <c r="A5" s="498" t="s">
        <v>45</v>
      </c>
      <c r="B5" s="713"/>
      <c r="C5" s="713"/>
      <c r="D5" s="714" t="s">
        <v>158</v>
      </c>
      <c r="E5" s="713"/>
      <c r="F5" s="708" t="s">
        <v>159</v>
      </c>
      <c r="H5" s="498" t="s">
        <v>45</v>
      </c>
      <c r="I5" s="713"/>
      <c r="J5" s="713"/>
      <c r="K5" s="714" t="s">
        <v>158</v>
      </c>
      <c r="L5" s="713"/>
      <c r="M5" s="708" t="s">
        <v>159</v>
      </c>
      <c r="O5" s="498" t="s">
        <v>45</v>
      </c>
      <c r="P5" s="713"/>
      <c r="Q5" s="713"/>
      <c r="R5" s="714" t="s">
        <v>158</v>
      </c>
      <c r="S5" s="713"/>
      <c r="T5" s="708" t="s">
        <v>159</v>
      </c>
    </row>
    <row r="6" spans="1:20" ht="12.75">
      <c r="A6" s="483" t="s">
        <v>160</v>
      </c>
      <c r="B6" s="721">
        <v>550</v>
      </c>
      <c r="C6" s="721">
        <v>1500</v>
      </c>
      <c r="D6" s="732">
        <v>11</v>
      </c>
      <c r="E6" s="721">
        <v>1</v>
      </c>
      <c r="F6" s="709">
        <f aca="true" t="shared" si="0" ref="F6:F13">IF(C6&gt;0,B6*D6*E6/C6,0)</f>
        <v>4.033333333333333</v>
      </c>
      <c r="H6" s="483" t="s">
        <v>160</v>
      </c>
      <c r="I6" s="721">
        <v>550</v>
      </c>
      <c r="J6" s="721">
        <v>1500</v>
      </c>
      <c r="K6" s="732">
        <v>11</v>
      </c>
      <c r="L6" s="721">
        <v>0</v>
      </c>
      <c r="M6" s="709">
        <f aca="true" t="shared" si="1" ref="M6:M13">IF(J6&gt;0,I6*K6*L6/J6,0)</f>
        <v>0</v>
      </c>
      <c r="O6" s="483" t="s">
        <v>160</v>
      </c>
      <c r="P6" s="721">
        <v>550</v>
      </c>
      <c r="Q6" s="721">
        <v>1500</v>
      </c>
      <c r="R6" s="732">
        <v>11</v>
      </c>
      <c r="S6" s="721">
        <v>0</v>
      </c>
      <c r="T6" s="709">
        <f aca="true" t="shared" si="2" ref="T6:T13">IF(Q6&gt;0,P6*R6*S6/Q6,0)</f>
        <v>0</v>
      </c>
    </row>
    <row r="7" spans="1:20" ht="12.75">
      <c r="A7" s="483" t="s">
        <v>161</v>
      </c>
      <c r="B7" s="721">
        <v>500</v>
      </c>
      <c r="C7" s="721">
        <v>3000</v>
      </c>
      <c r="D7" s="732">
        <v>18</v>
      </c>
      <c r="E7" s="721">
        <v>1</v>
      </c>
      <c r="F7" s="709">
        <f t="shared" si="0"/>
        <v>3</v>
      </c>
      <c r="H7" s="483" t="s">
        <v>161</v>
      </c>
      <c r="I7" s="721">
        <v>500</v>
      </c>
      <c r="J7" s="721">
        <v>3000</v>
      </c>
      <c r="K7" s="732">
        <v>18</v>
      </c>
      <c r="L7" s="721">
        <v>0</v>
      </c>
      <c r="M7" s="709">
        <f t="shared" si="1"/>
        <v>0</v>
      </c>
      <c r="O7" s="483" t="s">
        <v>161</v>
      </c>
      <c r="P7" s="721">
        <v>500</v>
      </c>
      <c r="Q7" s="721">
        <v>3000</v>
      </c>
      <c r="R7" s="732">
        <v>18</v>
      </c>
      <c r="S7" s="721">
        <v>0</v>
      </c>
      <c r="T7" s="709">
        <f t="shared" si="2"/>
        <v>0</v>
      </c>
    </row>
    <row r="8" spans="1:20" ht="12.75">
      <c r="A8" s="483" t="s">
        <v>162</v>
      </c>
      <c r="B8" s="721">
        <v>950</v>
      </c>
      <c r="C8" s="721">
        <v>2000</v>
      </c>
      <c r="D8" s="732">
        <v>8.5</v>
      </c>
      <c r="E8" s="721">
        <v>1</v>
      </c>
      <c r="F8" s="709">
        <f t="shared" si="0"/>
        <v>4.0375</v>
      </c>
      <c r="H8" s="483" t="s">
        <v>162</v>
      </c>
      <c r="I8" s="721">
        <v>950</v>
      </c>
      <c r="J8" s="721">
        <v>2000</v>
      </c>
      <c r="K8" s="732">
        <v>8.5</v>
      </c>
      <c r="L8" s="721">
        <v>0</v>
      </c>
      <c r="M8" s="709">
        <f t="shared" si="1"/>
        <v>0</v>
      </c>
      <c r="O8" s="483" t="s">
        <v>162</v>
      </c>
      <c r="P8" s="721">
        <v>950</v>
      </c>
      <c r="Q8" s="721">
        <v>2000</v>
      </c>
      <c r="R8" s="732">
        <v>8.5</v>
      </c>
      <c r="S8" s="721">
        <v>0</v>
      </c>
      <c r="T8" s="709">
        <f t="shared" si="2"/>
        <v>0</v>
      </c>
    </row>
    <row r="9" spans="1:20" ht="12.75">
      <c r="A9" s="483" t="s">
        <v>163</v>
      </c>
      <c r="B9" s="721">
        <v>1000</v>
      </c>
      <c r="C9" s="721">
        <v>10000</v>
      </c>
      <c r="D9" s="732">
        <v>7</v>
      </c>
      <c r="E9" s="721">
        <v>1</v>
      </c>
      <c r="F9" s="709">
        <f t="shared" si="0"/>
        <v>0.7</v>
      </c>
      <c r="H9" s="483" t="s">
        <v>163</v>
      </c>
      <c r="I9" s="721">
        <v>1000</v>
      </c>
      <c r="J9" s="721">
        <v>10000</v>
      </c>
      <c r="K9" s="732">
        <v>7</v>
      </c>
      <c r="L9" s="721">
        <v>0</v>
      </c>
      <c r="M9" s="709">
        <f t="shared" si="1"/>
        <v>0</v>
      </c>
      <c r="O9" s="483" t="s">
        <v>163</v>
      </c>
      <c r="P9" s="721">
        <v>1000</v>
      </c>
      <c r="Q9" s="721">
        <v>10000</v>
      </c>
      <c r="R9" s="732">
        <v>7</v>
      </c>
      <c r="S9" s="721">
        <v>0</v>
      </c>
      <c r="T9" s="709">
        <f t="shared" si="2"/>
        <v>0</v>
      </c>
    </row>
    <row r="10" spans="1:20" ht="12.75">
      <c r="A10" s="483" t="s">
        <v>164</v>
      </c>
      <c r="B10" s="721">
        <v>80</v>
      </c>
      <c r="C10" s="721">
        <v>5000</v>
      </c>
      <c r="D10" s="732">
        <v>18</v>
      </c>
      <c r="E10" s="721">
        <v>4</v>
      </c>
      <c r="F10" s="709">
        <f t="shared" si="0"/>
        <v>1.152</v>
      </c>
      <c r="H10" s="483" t="s">
        <v>164</v>
      </c>
      <c r="I10" s="721">
        <v>80</v>
      </c>
      <c r="J10" s="721">
        <v>10000</v>
      </c>
      <c r="K10" s="732">
        <v>18</v>
      </c>
      <c r="L10" s="721">
        <v>0</v>
      </c>
      <c r="M10" s="709">
        <f t="shared" si="1"/>
        <v>0</v>
      </c>
      <c r="O10" s="483" t="s">
        <v>164</v>
      </c>
      <c r="P10" s="721">
        <v>80</v>
      </c>
      <c r="Q10" s="721">
        <v>10000</v>
      </c>
      <c r="R10" s="732">
        <v>18</v>
      </c>
      <c r="S10" s="721">
        <v>0</v>
      </c>
      <c r="T10" s="709">
        <f t="shared" si="2"/>
        <v>0</v>
      </c>
    </row>
    <row r="11" spans="1:20" ht="12.75">
      <c r="A11" s="483" t="s">
        <v>165</v>
      </c>
      <c r="B11" s="721">
        <v>0</v>
      </c>
      <c r="C11" s="721">
        <v>0</v>
      </c>
      <c r="D11" s="732">
        <v>0</v>
      </c>
      <c r="E11" s="721">
        <v>0</v>
      </c>
      <c r="F11" s="709">
        <f t="shared" si="0"/>
        <v>0</v>
      </c>
      <c r="H11" s="483" t="s">
        <v>165</v>
      </c>
      <c r="I11" s="721">
        <v>0</v>
      </c>
      <c r="J11" s="721">
        <v>0</v>
      </c>
      <c r="K11" s="732">
        <v>0</v>
      </c>
      <c r="L11" s="721">
        <v>0</v>
      </c>
      <c r="M11" s="709">
        <f t="shared" si="1"/>
        <v>0</v>
      </c>
      <c r="O11" s="483" t="s">
        <v>165</v>
      </c>
      <c r="P11" s="721">
        <v>0</v>
      </c>
      <c r="Q11" s="721">
        <v>0</v>
      </c>
      <c r="R11" s="732">
        <v>0</v>
      </c>
      <c r="S11" s="721">
        <v>0</v>
      </c>
      <c r="T11" s="709">
        <f t="shared" si="2"/>
        <v>0</v>
      </c>
    </row>
    <row r="12" spans="1:20" ht="12.75">
      <c r="A12" s="483" t="s">
        <v>167</v>
      </c>
      <c r="B12" s="721">
        <v>1500</v>
      </c>
      <c r="C12" s="721">
        <v>5000</v>
      </c>
      <c r="D12" s="732">
        <v>7</v>
      </c>
      <c r="E12" s="721">
        <v>1</v>
      </c>
      <c r="F12" s="709">
        <f t="shared" si="0"/>
        <v>2.1</v>
      </c>
      <c r="H12" s="483" t="s">
        <v>167</v>
      </c>
      <c r="I12" s="721">
        <v>1500</v>
      </c>
      <c r="J12" s="721">
        <v>10000</v>
      </c>
      <c r="K12" s="732">
        <v>7</v>
      </c>
      <c r="L12" s="721">
        <v>0</v>
      </c>
      <c r="M12" s="709">
        <f t="shared" si="1"/>
        <v>0</v>
      </c>
      <c r="O12" s="483" t="s">
        <v>167</v>
      </c>
      <c r="P12" s="721">
        <v>1500</v>
      </c>
      <c r="Q12" s="721">
        <v>10000</v>
      </c>
      <c r="R12" s="732">
        <v>7</v>
      </c>
      <c r="S12" s="721">
        <v>0</v>
      </c>
      <c r="T12" s="709">
        <f t="shared" si="2"/>
        <v>0</v>
      </c>
    </row>
    <row r="13" spans="1:20" ht="12.75">
      <c r="A13" s="952" t="s">
        <v>94</v>
      </c>
      <c r="B13" s="721">
        <v>0</v>
      </c>
      <c r="C13" s="723">
        <v>0</v>
      </c>
      <c r="D13" s="734">
        <v>0</v>
      </c>
      <c r="E13" s="723">
        <v>0</v>
      </c>
      <c r="F13" s="709">
        <f t="shared" si="0"/>
        <v>0</v>
      </c>
      <c r="H13" s="952" t="s">
        <v>94</v>
      </c>
      <c r="I13" s="721">
        <v>0</v>
      </c>
      <c r="J13" s="723">
        <v>0</v>
      </c>
      <c r="K13" s="734">
        <v>0</v>
      </c>
      <c r="L13" s="723">
        <v>0</v>
      </c>
      <c r="M13" s="709">
        <f t="shared" si="1"/>
        <v>0</v>
      </c>
      <c r="O13" s="952" t="s">
        <v>94</v>
      </c>
      <c r="P13" s="721">
        <v>0</v>
      </c>
      <c r="Q13" s="723">
        <v>0</v>
      </c>
      <c r="R13" s="734">
        <v>0</v>
      </c>
      <c r="S13" s="723">
        <v>0</v>
      </c>
      <c r="T13" s="709">
        <f t="shared" si="2"/>
        <v>0</v>
      </c>
    </row>
    <row r="14" spans="1:20" ht="13.5" thickBot="1">
      <c r="A14" s="716" t="s">
        <v>25</v>
      </c>
      <c r="B14" s="717"/>
      <c r="C14" s="717"/>
      <c r="D14" s="717"/>
      <c r="E14" s="717"/>
      <c r="F14" s="839">
        <f>SUM(F6:F13)</f>
        <v>15.022833333333331</v>
      </c>
      <c r="H14" s="716" t="s">
        <v>25</v>
      </c>
      <c r="I14" s="717"/>
      <c r="J14" s="717"/>
      <c r="K14" s="717"/>
      <c r="L14" s="717"/>
      <c r="M14" s="839">
        <f>SUM(M6:M13)</f>
        <v>0</v>
      </c>
      <c r="O14" s="716" t="s">
        <v>25</v>
      </c>
      <c r="P14" s="717"/>
      <c r="Q14" s="717"/>
      <c r="R14" s="717"/>
      <c r="S14" s="717"/>
      <c r="T14" s="839">
        <f>SUM(T6:T13)</f>
        <v>0</v>
      </c>
    </row>
    <row r="15" spans="1:20" ht="13.5" thickTop="1">
      <c r="A15" s="33"/>
      <c r="B15" s="11"/>
      <c r="C15" s="11"/>
      <c r="D15" s="11"/>
      <c r="E15" s="11"/>
      <c r="F15" s="380"/>
      <c r="H15" s="33"/>
      <c r="I15" s="11"/>
      <c r="J15" s="11"/>
      <c r="K15" s="11"/>
      <c r="L15" s="11"/>
      <c r="M15" s="380"/>
      <c r="O15" s="33"/>
      <c r="P15" s="11"/>
      <c r="Q15" s="11"/>
      <c r="R15" s="11"/>
      <c r="S15" s="11"/>
      <c r="T15" s="380"/>
    </row>
    <row r="16" spans="1:20" ht="13.5" thickBot="1">
      <c r="A16" s="33"/>
      <c r="B16" s="11"/>
      <c r="C16" s="11"/>
      <c r="D16" s="11"/>
      <c r="E16" s="11"/>
      <c r="F16" s="380"/>
      <c r="H16" s="33"/>
      <c r="I16" s="11"/>
      <c r="J16" s="11"/>
      <c r="K16" s="11"/>
      <c r="L16" s="11"/>
      <c r="M16" s="380"/>
      <c r="O16" s="33"/>
      <c r="P16" s="11"/>
      <c r="Q16" s="11"/>
      <c r="R16" s="11"/>
      <c r="S16" s="11"/>
      <c r="T16" s="380"/>
    </row>
    <row r="17" spans="1:20" ht="16.5" thickTop="1">
      <c r="A17" s="718" t="s">
        <v>150</v>
      </c>
      <c r="B17" s="719"/>
      <c r="C17" s="712" t="s">
        <v>168</v>
      </c>
      <c r="D17" s="712" t="s">
        <v>156</v>
      </c>
      <c r="E17" s="712" t="s">
        <v>52</v>
      </c>
      <c r="F17" s="707" t="s">
        <v>156</v>
      </c>
      <c r="H17" s="718" t="s">
        <v>150</v>
      </c>
      <c r="I17" s="719"/>
      <c r="J17" s="712" t="s">
        <v>168</v>
      </c>
      <c r="K17" s="712" t="s">
        <v>156</v>
      </c>
      <c r="L17" s="712" t="s">
        <v>52</v>
      </c>
      <c r="M17" s="707" t="s">
        <v>156</v>
      </c>
      <c r="O17" s="718" t="s">
        <v>150</v>
      </c>
      <c r="P17" s="719"/>
      <c r="Q17" s="712" t="s">
        <v>168</v>
      </c>
      <c r="R17" s="712" t="s">
        <v>156</v>
      </c>
      <c r="S17" s="712" t="s">
        <v>52</v>
      </c>
      <c r="T17" s="707" t="s">
        <v>156</v>
      </c>
    </row>
    <row r="18" spans="1:20" ht="12.75">
      <c r="A18" s="720" t="s">
        <v>45</v>
      </c>
      <c r="B18" s="493"/>
      <c r="C18" s="714" t="s">
        <v>169</v>
      </c>
      <c r="D18" s="713"/>
      <c r="E18" s="713"/>
      <c r="F18" s="708" t="s">
        <v>170</v>
      </c>
      <c r="H18" s="720" t="s">
        <v>45</v>
      </c>
      <c r="I18" s="493"/>
      <c r="J18" s="714" t="s">
        <v>169</v>
      </c>
      <c r="K18" s="713"/>
      <c r="L18" s="713"/>
      <c r="M18" s="708" t="s">
        <v>170</v>
      </c>
      <c r="O18" s="720" t="s">
        <v>45</v>
      </c>
      <c r="P18" s="493"/>
      <c r="Q18" s="714" t="s">
        <v>169</v>
      </c>
      <c r="R18" s="713"/>
      <c r="S18" s="713"/>
      <c r="T18" s="708" t="s">
        <v>170</v>
      </c>
    </row>
    <row r="19" spans="1:20" ht="12.75">
      <c r="A19" s="483" t="s">
        <v>171</v>
      </c>
      <c r="B19" s="484"/>
      <c r="C19" s="722">
        <v>5000</v>
      </c>
      <c r="D19" s="733">
        <v>5000</v>
      </c>
      <c r="E19" s="722">
        <v>1</v>
      </c>
      <c r="F19" s="709">
        <f aca="true" t="shared" si="3" ref="F19:F30">IF(C19&gt;0,D19*E19/C19,0)</f>
        <v>1</v>
      </c>
      <c r="H19" s="483" t="s">
        <v>171</v>
      </c>
      <c r="I19" s="484"/>
      <c r="J19" s="722">
        <v>5000</v>
      </c>
      <c r="K19" s="733">
        <v>5000</v>
      </c>
      <c r="L19" s="722">
        <v>0</v>
      </c>
      <c r="M19" s="709">
        <f aca="true" t="shared" si="4" ref="M19:M30">IF(J19&gt;0,K19*L19/J19,0)</f>
        <v>0</v>
      </c>
      <c r="O19" s="483" t="s">
        <v>171</v>
      </c>
      <c r="P19" s="484"/>
      <c r="Q19" s="722">
        <v>5000</v>
      </c>
      <c r="R19" s="733">
        <v>5000</v>
      </c>
      <c r="S19" s="722">
        <v>0</v>
      </c>
      <c r="T19" s="709">
        <f aca="true" t="shared" si="5" ref="T19:T30">IF(Q19&gt;0,R19*S19/Q19,0)</f>
        <v>0</v>
      </c>
    </row>
    <row r="20" spans="1:20" ht="12.75">
      <c r="A20" s="483" t="s">
        <v>172</v>
      </c>
      <c r="B20" s="484"/>
      <c r="C20" s="722">
        <v>5000</v>
      </c>
      <c r="D20" s="733">
        <v>3300</v>
      </c>
      <c r="E20" s="722">
        <v>1</v>
      </c>
      <c r="F20" s="709">
        <f t="shared" si="3"/>
        <v>0.66</v>
      </c>
      <c r="H20" s="483" t="s">
        <v>172</v>
      </c>
      <c r="I20" s="484"/>
      <c r="J20" s="722">
        <v>5000</v>
      </c>
      <c r="K20" s="733">
        <v>3300</v>
      </c>
      <c r="L20" s="722">
        <v>0</v>
      </c>
      <c r="M20" s="709">
        <f t="shared" si="4"/>
        <v>0</v>
      </c>
      <c r="O20" s="483" t="s">
        <v>172</v>
      </c>
      <c r="P20" s="484"/>
      <c r="Q20" s="722">
        <v>5000</v>
      </c>
      <c r="R20" s="733">
        <v>3300</v>
      </c>
      <c r="S20" s="722">
        <v>0</v>
      </c>
      <c r="T20" s="709">
        <f t="shared" si="5"/>
        <v>0</v>
      </c>
    </row>
    <row r="21" spans="1:20" ht="12.75">
      <c r="A21" s="483" t="s">
        <v>173</v>
      </c>
      <c r="B21" s="484"/>
      <c r="C21" s="722">
        <v>5000</v>
      </c>
      <c r="D21" s="733">
        <v>3800</v>
      </c>
      <c r="E21" s="722">
        <v>1</v>
      </c>
      <c r="F21" s="709">
        <f t="shared" si="3"/>
        <v>0.76</v>
      </c>
      <c r="H21" s="483" t="s">
        <v>173</v>
      </c>
      <c r="I21" s="484"/>
      <c r="J21" s="722">
        <v>5000</v>
      </c>
      <c r="K21" s="733">
        <v>3800</v>
      </c>
      <c r="L21" s="722">
        <v>0</v>
      </c>
      <c r="M21" s="709">
        <f t="shared" si="4"/>
        <v>0</v>
      </c>
      <c r="O21" s="483" t="s">
        <v>173</v>
      </c>
      <c r="P21" s="484"/>
      <c r="Q21" s="722">
        <v>5000</v>
      </c>
      <c r="R21" s="733">
        <v>3800</v>
      </c>
      <c r="S21" s="722">
        <v>0</v>
      </c>
      <c r="T21" s="709">
        <f t="shared" si="5"/>
        <v>0</v>
      </c>
    </row>
    <row r="22" spans="1:20" ht="12.75">
      <c r="A22" s="483" t="s">
        <v>174</v>
      </c>
      <c r="B22" s="484"/>
      <c r="C22" s="722">
        <v>7500</v>
      </c>
      <c r="D22" s="733">
        <v>4400</v>
      </c>
      <c r="E22" s="722">
        <v>1</v>
      </c>
      <c r="F22" s="709">
        <f t="shared" si="3"/>
        <v>0.5866666666666667</v>
      </c>
      <c r="H22" s="483" t="s">
        <v>174</v>
      </c>
      <c r="I22" s="484"/>
      <c r="J22" s="722">
        <v>7500</v>
      </c>
      <c r="K22" s="733">
        <v>4400</v>
      </c>
      <c r="L22" s="722">
        <v>0</v>
      </c>
      <c r="M22" s="709">
        <f t="shared" si="4"/>
        <v>0</v>
      </c>
      <c r="O22" s="483" t="s">
        <v>174</v>
      </c>
      <c r="P22" s="484"/>
      <c r="Q22" s="722">
        <v>7500</v>
      </c>
      <c r="R22" s="733">
        <v>4400</v>
      </c>
      <c r="S22" s="722">
        <v>0</v>
      </c>
      <c r="T22" s="709">
        <f t="shared" si="5"/>
        <v>0</v>
      </c>
    </row>
    <row r="23" spans="1:20" ht="12.75">
      <c r="A23" s="483" t="s">
        <v>175</v>
      </c>
      <c r="B23" s="484"/>
      <c r="C23" s="722">
        <v>5000</v>
      </c>
      <c r="D23" s="733">
        <v>700</v>
      </c>
      <c r="E23" s="722">
        <v>3</v>
      </c>
      <c r="F23" s="709">
        <f t="shared" si="3"/>
        <v>0.42</v>
      </c>
      <c r="H23" s="483" t="s">
        <v>175</v>
      </c>
      <c r="I23" s="484"/>
      <c r="J23" s="722">
        <v>5000</v>
      </c>
      <c r="K23" s="733">
        <v>700</v>
      </c>
      <c r="L23" s="722">
        <v>0</v>
      </c>
      <c r="M23" s="709">
        <f t="shared" si="4"/>
        <v>0</v>
      </c>
      <c r="O23" s="483" t="s">
        <v>175</v>
      </c>
      <c r="P23" s="484"/>
      <c r="Q23" s="722">
        <v>5000</v>
      </c>
      <c r="R23" s="733">
        <v>700</v>
      </c>
      <c r="S23" s="722">
        <v>0</v>
      </c>
      <c r="T23" s="709">
        <f t="shared" si="5"/>
        <v>0</v>
      </c>
    </row>
    <row r="24" spans="1:20" ht="12.75">
      <c r="A24" s="483" t="s">
        <v>176</v>
      </c>
      <c r="B24" s="484"/>
      <c r="C24" s="722">
        <v>10000</v>
      </c>
      <c r="D24" s="733">
        <v>10000</v>
      </c>
      <c r="E24" s="722">
        <v>1</v>
      </c>
      <c r="F24" s="709">
        <f t="shared" si="3"/>
        <v>1</v>
      </c>
      <c r="H24" s="483" t="s">
        <v>176</v>
      </c>
      <c r="I24" s="484"/>
      <c r="J24" s="722">
        <v>10000</v>
      </c>
      <c r="K24" s="733">
        <v>10000</v>
      </c>
      <c r="L24" s="722">
        <v>0</v>
      </c>
      <c r="M24" s="709">
        <f t="shared" si="4"/>
        <v>0</v>
      </c>
      <c r="O24" s="483" t="s">
        <v>176</v>
      </c>
      <c r="P24" s="484"/>
      <c r="Q24" s="722">
        <v>10000</v>
      </c>
      <c r="R24" s="733">
        <v>10000</v>
      </c>
      <c r="S24" s="722">
        <v>0</v>
      </c>
      <c r="T24" s="709">
        <f t="shared" si="5"/>
        <v>0</v>
      </c>
    </row>
    <row r="25" spans="1:20" ht="12.75">
      <c r="A25" s="483" t="s">
        <v>177</v>
      </c>
      <c r="B25" s="484"/>
      <c r="C25" s="722">
        <v>10000</v>
      </c>
      <c r="D25" s="733">
        <v>10000</v>
      </c>
      <c r="E25" s="722">
        <v>1</v>
      </c>
      <c r="F25" s="709">
        <f t="shared" si="3"/>
        <v>1</v>
      </c>
      <c r="H25" s="483" t="s">
        <v>177</v>
      </c>
      <c r="I25" s="484"/>
      <c r="J25" s="722">
        <v>10000</v>
      </c>
      <c r="K25" s="733">
        <v>10000</v>
      </c>
      <c r="L25" s="722">
        <v>0</v>
      </c>
      <c r="M25" s="709">
        <f t="shared" si="4"/>
        <v>0</v>
      </c>
      <c r="O25" s="483" t="s">
        <v>177</v>
      </c>
      <c r="P25" s="484"/>
      <c r="Q25" s="722">
        <v>10000</v>
      </c>
      <c r="R25" s="733">
        <v>10000</v>
      </c>
      <c r="S25" s="722">
        <v>0</v>
      </c>
      <c r="T25" s="709">
        <f t="shared" si="5"/>
        <v>0</v>
      </c>
    </row>
    <row r="26" spans="1:20" ht="12.75">
      <c r="A26" s="483" t="s">
        <v>178</v>
      </c>
      <c r="B26" s="484"/>
      <c r="C26" s="722">
        <v>5000</v>
      </c>
      <c r="D26" s="733">
        <v>150</v>
      </c>
      <c r="E26" s="722">
        <v>8</v>
      </c>
      <c r="F26" s="709">
        <f t="shared" si="3"/>
        <v>0.24</v>
      </c>
      <c r="H26" s="483" t="s">
        <v>178</v>
      </c>
      <c r="I26" s="484"/>
      <c r="J26" s="722">
        <v>5000</v>
      </c>
      <c r="K26" s="733">
        <v>150</v>
      </c>
      <c r="L26" s="722">
        <v>0</v>
      </c>
      <c r="M26" s="709">
        <f t="shared" si="4"/>
        <v>0</v>
      </c>
      <c r="O26" s="483" t="s">
        <v>178</v>
      </c>
      <c r="P26" s="484"/>
      <c r="Q26" s="722">
        <v>5000</v>
      </c>
      <c r="R26" s="733">
        <v>150</v>
      </c>
      <c r="S26" s="722">
        <v>0</v>
      </c>
      <c r="T26" s="709">
        <f t="shared" si="5"/>
        <v>0</v>
      </c>
    </row>
    <row r="27" spans="1:20" ht="12.75">
      <c r="A27" s="483" t="s">
        <v>180</v>
      </c>
      <c r="B27" s="484"/>
      <c r="C27" s="722">
        <v>100</v>
      </c>
      <c r="D27" s="733">
        <v>140</v>
      </c>
      <c r="E27" s="722">
        <v>4</v>
      </c>
      <c r="F27" s="709">
        <f t="shared" si="3"/>
        <v>5.6</v>
      </c>
      <c r="H27" s="483" t="s">
        <v>180</v>
      </c>
      <c r="I27" s="484"/>
      <c r="J27" s="722">
        <v>100</v>
      </c>
      <c r="K27" s="733">
        <v>140</v>
      </c>
      <c r="L27" s="722">
        <v>0</v>
      </c>
      <c r="M27" s="709">
        <f t="shared" si="4"/>
        <v>0</v>
      </c>
      <c r="O27" s="483" t="s">
        <v>180</v>
      </c>
      <c r="P27" s="484"/>
      <c r="Q27" s="722">
        <v>100</v>
      </c>
      <c r="R27" s="733">
        <v>140</v>
      </c>
      <c r="S27" s="722">
        <v>0</v>
      </c>
      <c r="T27" s="709">
        <f t="shared" si="5"/>
        <v>0</v>
      </c>
    </row>
    <row r="28" spans="1:20" ht="12.75">
      <c r="A28" s="483" t="s">
        <v>179</v>
      </c>
      <c r="B28" s="484"/>
      <c r="C28" s="722">
        <v>15000</v>
      </c>
      <c r="D28" s="733">
        <v>10200</v>
      </c>
      <c r="E28" s="722">
        <v>1</v>
      </c>
      <c r="F28" s="709">
        <f t="shared" si="3"/>
        <v>0.68</v>
      </c>
      <c r="H28" s="483" t="s">
        <v>179</v>
      </c>
      <c r="I28" s="484"/>
      <c r="J28" s="722">
        <v>15000</v>
      </c>
      <c r="K28" s="733">
        <v>10200</v>
      </c>
      <c r="L28" s="722">
        <v>0</v>
      </c>
      <c r="M28" s="709">
        <f t="shared" si="4"/>
        <v>0</v>
      </c>
      <c r="O28" s="483" t="s">
        <v>179</v>
      </c>
      <c r="P28" s="484"/>
      <c r="Q28" s="722">
        <v>15000</v>
      </c>
      <c r="R28" s="733">
        <v>10200</v>
      </c>
      <c r="S28" s="722">
        <v>0</v>
      </c>
      <c r="T28" s="709">
        <f t="shared" si="5"/>
        <v>0</v>
      </c>
    </row>
    <row r="29" spans="1:20" ht="12.75">
      <c r="A29" s="483" t="s">
        <v>664</v>
      </c>
      <c r="B29" s="484"/>
      <c r="C29" s="722">
        <v>8000</v>
      </c>
      <c r="D29" s="733">
        <v>8400</v>
      </c>
      <c r="E29" s="722">
        <v>1</v>
      </c>
      <c r="F29" s="709">
        <f t="shared" si="3"/>
        <v>1.05</v>
      </c>
      <c r="H29" s="483" t="s">
        <v>664</v>
      </c>
      <c r="I29" s="484"/>
      <c r="J29" s="722">
        <v>8000</v>
      </c>
      <c r="K29" s="733">
        <v>8400</v>
      </c>
      <c r="L29" s="722">
        <v>0</v>
      </c>
      <c r="M29" s="709">
        <f t="shared" si="4"/>
        <v>0</v>
      </c>
      <c r="O29" s="483" t="s">
        <v>664</v>
      </c>
      <c r="P29" s="484"/>
      <c r="Q29" s="722">
        <v>8000</v>
      </c>
      <c r="R29" s="733">
        <v>8400</v>
      </c>
      <c r="S29" s="722">
        <v>0</v>
      </c>
      <c r="T29" s="709">
        <f t="shared" si="5"/>
        <v>0</v>
      </c>
    </row>
    <row r="30" spans="1:20" ht="12.75">
      <c r="A30" s="950" t="s">
        <v>94</v>
      </c>
      <c r="B30" s="951"/>
      <c r="C30" s="723">
        <v>0</v>
      </c>
      <c r="D30" s="734">
        <v>0</v>
      </c>
      <c r="E30" s="723">
        <v>0</v>
      </c>
      <c r="F30" s="735">
        <f t="shared" si="3"/>
        <v>0</v>
      </c>
      <c r="H30" s="952" t="s">
        <v>94</v>
      </c>
      <c r="I30" s="951"/>
      <c r="J30" s="723">
        <v>0</v>
      </c>
      <c r="K30" s="734">
        <v>0</v>
      </c>
      <c r="L30" s="723">
        <v>0</v>
      </c>
      <c r="M30" s="735">
        <f t="shared" si="4"/>
        <v>0</v>
      </c>
      <c r="O30" s="952" t="s">
        <v>94</v>
      </c>
      <c r="P30" s="951"/>
      <c r="Q30" s="723">
        <v>0</v>
      </c>
      <c r="R30" s="734">
        <v>0</v>
      </c>
      <c r="S30" s="723">
        <v>0</v>
      </c>
      <c r="T30" s="735">
        <f t="shared" si="5"/>
        <v>0</v>
      </c>
    </row>
    <row r="31" spans="1:20" ht="13.5" thickBot="1">
      <c r="A31" s="485" t="s">
        <v>25</v>
      </c>
      <c r="B31" s="486"/>
      <c r="C31" s="486"/>
      <c r="D31" s="486"/>
      <c r="E31" s="486"/>
      <c r="F31" s="840">
        <f>SUM(F19:F30)</f>
        <v>12.996666666666666</v>
      </c>
      <c r="H31" s="485" t="s">
        <v>25</v>
      </c>
      <c r="I31" s="486"/>
      <c r="J31" s="486"/>
      <c r="K31" s="486"/>
      <c r="L31" s="486"/>
      <c r="M31" s="840">
        <f>SUM(M19:M30)</f>
        <v>0</v>
      </c>
      <c r="O31" s="485" t="s">
        <v>25</v>
      </c>
      <c r="P31" s="486"/>
      <c r="Q31" s="486"/>
      <c r="R31" s="486"/>
      <c r="S31" s="486"/>
      <c r="T31" s="840">
        <f>SUM(T19:T30)</f>
        <v>0</v>
      </c>
    </row>
  </sheetData>
  <sheetProtection password="8FA7" sheet="1" objects="1" scenarios="1"/>
  <protectedRanges>
    <protectedRange sqref="A13 H13 O13 A30:B30 H30:I30 O30:P30" name="Range3"/>
    <protectedRange password="8FA7" sqref="B6:E13 C19:E30 I6:L13 J19:L30 P6:S13 Q19:S30" name="Range2"/>
  </protectedRanges>
  <printOptions/>
  <pageMargins left="0.75" right="0.75" top="1" bottom="1" header="0.5" footer="0.5"/>
  <pageSetup horizontalDpi="600" verticalDpi="600" orientation="portrait" paperSize="9" r:id="rId1"/>
  <colBreaks count="2" manualBreakCount="2">
    <brk id="6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11.57421875" style="365" customWidth="1"/>
    <col min="2" max="3" width="9.140625" style="365" customWidth="1"/>
    <col min="4" max="4" width="11.8515625" style="365" customWidth="1"/>
    <col min="5" max="5" width="11.421875" style="365" customWidth="1"/>
    <col min="6" max="6" width="12.00390625" style="365" customWidth="1"/>
    <col min="7" max="7" width="10.28125" style="365" customWidth="1"/>
    <col min="8" max="8" width="9.140625" style="365" customWidth="1"/>
    <col min="9" max="9" width="10.421875" style="365" customWidth="1"/>
    <col min="10" max="16384" width="9.140625" style="365" customWidth="1"/>
  </cols>
  <sheetData>
    <row r="1" spans="1:9" ht="24" thickBot="1">
      <c r="A1" s="896" t="s">
        <v>460</v>
      </c>
      <c r="B1" s="897"/>
      <c r="C1" s="897"/>
      <c r="D1" s="897"/>
      <c r="E1" s="897"/>
      <c r="F1" s="897"/>
      <c r="G1" s="897"/>
      <c r="H1" s="897"/>
      <c r="I1" s="898"/>
    </row>
    <row r="2" spans="1:9" ht="12.75">
      <c r="A2" s="391"/>
      <c r="B2" s="392"/>
      <c r="C2" s="393"/>
      <c r="D2" s="394"/>
      <c r="E2" s="394"/>
      <c r="F2" s="394"/>
      <c r="G2" s="394"/>
      <c r="H2" s="394"/>
      <c r="I2" s="395"/>
    </row>
    <row r="3" spans="1:9" ht="13.5" thickBot="1">
      <c r="A3" s="396" t="s">
        <v>6</v>
      </c>
      <c r="B3" s="397"/>
      <c r="C3" s="393"/>
      <c r="D3" s="394"/>
      <c r="E3" s="394"/>
      <c r="F3" s="394"/>
      <c r="G3" s="394"/>
      <c r="H3" s="394"/>
      <c r="I3" s="395"/>
    </row>
    <row r="4" spans="1:9" ht="14.25" thickBot="1" thickTop="1">
      <c r="A4" s="398"/>
      <c r="B4" s="570" t="s">
        <v>538</v>
      </c>
      <c r="C4" s="571"/>
      <c r="D4" s="571"/>
      <c r="E4" s="571"/>
      <c r="F4" s="394"/>
      <c r="G4" s="394"/>
      <c r="H4" s="394"/>
      <c r="I4" s="395"/>
    </row>
    <row r="5" spans="1:9" ht="14.25" thickBot="1" thickTop="1">
      <c r="A5" s="572" t="s">
        <v>600</v>
      </c>
      <c r="B5" s="573"/>
      <c r="C5" s="908" t="s">
        <v>479</v>
      </c>
      <c r="D5" s="909"/>
      <c r="E5" s="910"/>
      <c r="F5" s="394"/>
      <c r="G5" s="394"/>
      <c r="H5" s="394"/>
      <c r="I5" s="395"/>
    </row>
    <row r="6" spans="1:9" ht="13.5" thickTop="1">
      <c r="A6" s="574" t="s">
        <v>50</v>
      </c>
      <c r="B6" s="575"/>
      <c r="C6" s="579"/>
      <c r="D6" s="792">
        <v>91.6</v>
      </c>
      <c r="E6" s="581" t="s">
        <v>49</v>
      </c>
      <c r="F6" s="578"/>
      <c r="G6" s="578"/>
      <c r="H6" s="578"/>
      <c r="I6" s="842">
        <v>2132</v>
      </c>
    </row>
    <row r="7" spans="1:9" ht="13.5" thickBot="1">
      <c r="A7" s="576" t="s">
        <v>53</v>
      </c>
      <c r="B7" s="577"/>
      <c r="C7" s="580"/>
      <c r="D7" s="793">
        <v>2009</v>
      </c>
      <c r="E7" s="582" t="s">
        <v>54</v>
      </c>
      <c r="F7" s="579"/>
      <c r="G7" s="579"/>
      <c r="H7" s="579"/>
      <c r="I7" s="585">
        <f>'1. JOB COST SUMMARY'!G7*$D$18</f>
        <v>1380</v>
      </c>
    </row>
    <row r="8" spans="1:9" ht="13.5" thickTop="1">
      <c r="A8" s="399"/>
      <c r="B8" s="394"/>
      <c r="C8" s="394"/>
      <c r="D8" s="394"/>
      <c r="E8" s="582" t="s">
        <v>536</v>
      </c>
      <c r="F8" s="579"/>
      <c r="G8" s="579"/>
      <c r="H8" s="579"/>
      <c r="I8" s="798">
        <f>6*230</f>
        <v>1380</v>
      </c>
    </row>
    <row r="9" spans="1:9" ht="12.75">
      <c r="A9" s="399"/>
      <c r="B9" s="394"/>
      <c r="C9" s="394"/>
      <c r="D9" s="394"/>
      <c r="E9" s="582" t="s">
        <v>537</v>
      </c>
      <c r="F9" s="579"/>
      <c r="G9" s="579"/>
      <c r="H9" s="579"/>
      <c r="I9" s="799">
        <f>I8/I7</f>
        <v>1</v>
      </c>
    </row>
    <row r="10" spans="1:9" ht="13.5" thickBot="1">
      <c r="A10" s="399"/>
      <c r="B10" s="394"/>
      <c r="C10" s="394"/>
      <c r="D10" s="394"/>
      <c r="E10" s="582" t="s">
        <v>62</v>
      </c>
      <c r="F10" s="579"/>
      <c r="G10" s="579"/>
      <c r="H10" s="579"/>
      <c r="I10" s="843">
        <v>424</v>
      </c>
    </row>
    <row r="11" spans="1:9" ht="13.5" thickTop="1">
      <c r="A11" s="590" t="s">
        <v>64</v>
      </c>
      <c r="B11" s="591"/>
      <c r="C11" s="591"/>
      <c r="D11" s="592"/>
      <c r="E11" s="579" t="s">
        <v>6</v>
      </c>
      <c r="F11" s="579"/>
      <c r="G11" s="579"/>
      <c r="H11" s="579"/>
      <c r="I11" s="586" t="s">
        <v>6</v>
      </c>
    </row>
    <row r="12" spans="1:9" ht="12.75">
      <c r="A12" s="593"/>
      <c r="B12" s="579"/>
      <c r="C12" s="579"/>
      <c r="D12" s="594"/>
      <c r="E12" s="579" t="s">
        <v>519</v>
      </c>
      <c r="F12" s="579"/>
      <c r="G12" s="579"/>
      <c r="H12" s="579"/>
      <c r="I12" s="797">
        <v>1.8</v>
      </c>
    </row>
    <row r="13" spans="1:9" ht="12.75">
      <c r="A13" s="593" t="s">
        <v>54</v>
      </c>
      <c r="B13" s="579"/>
      <c r="C13" s="579"/>
      <c r="D13" s="595">
        <f>I7</f>
        <v>1380</v>
      </c>
      <c r="E13" s="579" t="s">
        <v>6</v>
      </c>
      <c r="F13" s="579"/>
      <c r="G13" s="579"/>
      <c r="H13" s="579"/>
      <c r="I13" s="586" t="s">
        <v>6</v>
      </c>
    </row>
    <row r="14" spans="1:9" ht="12.75">
      <c r="A14" s="593" t="s">
        <v>68</v>
      </c>
      <c r="B14" s="579"/>
      <c r="C14" s="579"/>
      <c r="D14" s="804">
        <f>D29+D34+D35</f>
        <v>1.436590579710145</v>
      </c>
      <c r="E14" s="579" t="s">
        <v>69</v>
      </c>
      <c r="F14" s="579"/>
      <c r="G14" s="579"/>
      <c r="H14" s="579"/>
      <c r="I14" s="587">
        <f>((I6-I10)*(I9+1)/(2*I9))+I10</f>
        <v>2132</v>
      </c>
    </row>
    <row r="15" spans="1:9" ht="12.75">
      <c r="A15" s="593" t="s">
        <v>70</v>
      </c>
      <c r="B15" s="579"/>
      <c r="C15" s="579"/>
      <c r="D15" s="804">
        <f>SUM(I26:I32)</f>
        <v>5.4012534002229655</v>
      </c>
      <c r="E15" s="579" t="s">
        <v>601</v>
      </c>
      <c r="F15" s="579"/>
      <c r="G15" s="579"/>
      <c r="H15" s="579"/>
      <c r="I15" s="569">
        <v>0.84</v>
      </c>
    </row>
    <row r="16" spans="1:9" ht="13.5" thickBot="1">
      <c r="A16" s="593" t="s">
        <v>6</v>
      </c>
      <c r="B16" s="579"/>
      <c r="C16" s="579"/>
      <c r="D16" s="804" t="s">
        <v>6</v>
      </c>
      <c r="E16" s="579" t="s">
        <v>602</v>
      </c>
      <c r="F16" s="579"/>
      <c r="G16" s="579"/>
      <c r="H16" s="579"/>
      <c r="I16" s="569">
        <v>0.35</v>
      </c>
    </row>
    <row r="17" spans="1:9" ht="12.75">
      <c r="A17" s="596" t="s">
        <v>75</v>
      </c>
      <c r="B17" s="579"/>
      <c r="C17" s="579"/>
      <c r="D17" s="805">
        <f>SUM(D14:D15)</f>
        <v>6.83784397993311</v>
      </c>
      <c r="E17" s="579" t="s">
        <v>6</v>
      </c>
      <c r="F17" s="579"/>
      <c r="G17" s="579"/>
      <c r="H17" s="579"/>
      <c r="I17" s="586" t="s">
        <v>6</v>
      </c>
    </row>
    <row r="18" spans="1:9" ht="12.75">
      <c r="A18" s="597" t="s">
        <v>619</v>
      </c>
      <c r="B18" s="794"/>
      <c r="C18" s="794"/>
      <c r="D18" s="841">
        <v>6</v>
      </c>
      <c r="E18" s="579" t="s">
        <v>77</v>
      </c>
      <c r="F18" s="579"/>
      <c r="G18" s="579"/>
      <c r="H18" s="579"/>
      <c r="I18" s="795">
        <v>25</v>
      </c>
    </row>
    <row r="19" spans="1:9" ht="13.5" thickBot="1">
      <c r="A19" s="598" t="s">
        <v>76</v>
      </c>
      <c r="B19" s="599"/>
      <c r="C19" s="599"/>
      <c r="D19" s="806">
        <f>D17*D18</f>
        <v>41.02706387959866</v>
      </c>
      <c r="E19" s="579" t="s">
        <v>82</v>
      </c>
      <c r="F19" s="579"/>
      <c r="G19" s="579"/>
      <c r="H19" s="579"/>
      <c r="I19" s="844">
        <v>4.95</v>
      </c>
    </row>
    <row r="20" spans="1:9" ht="13.5" thickTop="1">
      <c r="A20" s="399"/>
      <c r="B20" s="400"/>
      <c r="C20" s="400"/>
      <c r="D20" s="400"/>
      <c r="E20" s="582" t="s">
        <v>78</v>
      </c>
      <c r="F20" s="579"/>
      <c r="G20" s="579"/>
      <c r="H20" s="579"/>
      <c r="I20" s="588">
        <f>'2. COST VARIABLES'!C4</f>
        <v>0.11</v>
      </c>
    </row>
    <row r="21" spans="1:9" ht="12.75">
      <c r="A21" s="399"/>
      <c r="B21" s="400"/>
      <c r="C21" s="400"/>
      <c r="D21" s="400"/>
      <c r="E21" s="582" t="s">
        <v>541</v>
      </c>
      <c r="F21" s="579"/>
      <c r="G21" s="579"/>
      <c r="H21" s="579"/>
      <c r="I21" s="588">
        <f>'2. COST VARIABLES'!C5</f>
        <v>0.105</v>
      </c>
    </row>
    <row r="22" spans="1:9" ht="12.75">
      <c r="A22" s="399"/>
      <c r="B22" s="400"/>
      <c r="C22" s="400"/>
      <c r="D22" s="400"/>
      <c r="E22" s="582" t="s">
        <v>85</v>
      </c>
      <c r="F22" s="579"/>
      <c r="G22" s="579"/>
      <c r="H22" s="579"/>
      <c r="I22" s="796">
        <f>'2. COST VARIABLES'!$C$8</f>
        <v>1.48</v>
      </c>
    </row>
    <row r="23" spans="1:9" ht="13.5" thickBot="1">
      <c r="A23" s="399"/>
      <c r="B23" s="400"/>
      <c r="C23" s="400"/>
      <c r="D23" s="400"/>
      <c r="E23" s="584" t="s">
        <v>87</v>
      </c>
      <c r="F23" s="580"/>
      <c r="G23" s="580"/>
      <c r="H23" s="580"/>
      <c r="I23" s="568">
        <v>50</v>
      </c>
    </row>
    <row r="24" spans="1:9" ht="14.25" thickBot="1" thickTop="1">
      <c r="A24" s="399"/>
      <c r="B24" s="400"/>
      <c r="C24" s="400"/>
      <c r="D24" s="400"/>
      <c r="E24" s="400"/>
      <c r="F24" s="400"/>
      <c r="G24" s="400"/>
      <c r="H24" s="400"/>
      <c r="I24" s="395"/>
    </row>
    <row r="25" spans="1:9" ht="13.5" thickTop="1">
      <c r="A25" s="600" t="s">
        <v>91</v>
      </c>
      <c r="B25" s="601"/>
      <c r="C25" s="601"/>
      <c r="D25" s="602"/>
      <c r="E25" s="600" t="s">
        <v>92</v>
      </c>
      <c r="F25" s="601"/>
      <c r="G25" s="601"/>
      <c r="H25" s="601"/>
      <c r="I25" s="602"/>
    </row>
    <row r="26" spans="1:9" ht="12.75">
      <c r="A26" s="582"/>
      <c r="B26" s="579"/>
      <c r="C26" s="579"/>
      <c r="D26" s="603"/>
      <c r="E26" s="582" t="s">
        <v>93</v>
      </c>
      <c r="F26" s="579"/>
      <c r="G26" s="579"/>
      <c r="H26" s="579"/>
      <c r="I26" s="849">
        <f>(G27/(I18+1))*I19</f>
        <v>0.31984615384615384</v>
      </c>
    </row>
    <row r="27" spans="1:9" ht="12.75">
      <c r="A27" s="582" t="s">
        <v>6</v>
      </c>
      <c r="B27" s="579"/>
      <c r="C27" s="579"/>
      <c r="D27" s="604"/>
      <c r="E27" s="582" t="s">
        <v>604</v>
      </c>
      <c r="F27" s="579"/>
      <c r="G27" s="476">
        <f>2*$I$15</f>
        <v>1.68</v>
      </c>
      <c r="H27" s="579"/>
      <c r="I27" s="848">
        <f>G27*I22</f>
        <v>2.4863999999999997</v>
      </c>
    </row>
    <row r="28" spans="1:9" ht="12.75">
      <c r="A28" s="582" t="s">
        <v>96</v>
      </c>
      <c r="B28" s="579"/>
      <c r="C28" s="579"/>
      <c r="D28" s="846">
        <f>(I6-I10)/I9</f>
        <v>1708</v>
      </c>
      <c r="E28" s="582" t="s">
        <v>605</v>
      </c>
      <c r="F28" s="579"/>
      <c r="G28" s="852">
        <f>1.9*$I$16</f>
        <v>0.6649999999999999</v>
      </c>
      <c r="H28" s="579"/>
      <c r="I28" s="848">
        <f>G28*I12</f>
        <v>1.1969999999999998</v>
      </c>
    </row>
    <row r="29" spans="1:9" ht="12.75">
      <c r="A29" s="582" t="s">
        <v>606</v>
      </c>
      <c r="B29" s="579"/>
      <c r="C29" s="579"/>
      <c r="D29" s="848">
        <f>D28/I7</f>
        <v>1.23768115942029</v>
      </c>
      <c r="E29" s="582" t="s">
        <v>98</v>
      </c>
      <c r="F29" s="579"/>
      <c r="G29" s="579"/>
      <c r="H29" s="579"/>
      <c r="I29" s="848">
        <f>(I23%*D28)/I7</f>
        <v>0.618840579710145</v>
      </c>
    </row>
    <row r="30" spans="1:9" ht="12.75">
      <c r="A30" s="582" t="s">
        <v>6</v>
      </c>
      <c r="B30" s="579"/>
      <c r="C30" s="579"/>
      <c r="D30" s="589" t="s">
        <v>6</v>
      </c>
      <c r="E30" s="582" t="s">
        <v>99</v>
      </c>
      <c r="F30" s="579" t="s">
        <v>102</v>
      </c>
      <c r="G30" s="845">
        <v>45</v>
      </c>
      <c r="H30" s="579"/>
      <c r="I30" s="850" t="s">
        <v>6</v>
      </c>
    </row>
    <row r="31" spans="1:9" ht="12.75">
      <c r="A31" s="582"/>
      <c r="B31" s="579"/>
      <c r="C31" s="579"/>
      <c r="D31" s="589"/>
      <c r="E31" s="582" t="s">
        <v>6</v>
      </c>
      <c r="F31" s="579" t="s">
        <v>608</v>
      </c>
      <c r="G31" s="476">
        <v>15</v>
      </c>
      <c r="H31" s="583"/>
      <c r="I31" s="848">
        <f>G30/(G31*D18)</f>
        <v>0.5</v>
      </c>
    </row>
    <row r="32" spans="1:9" ht="12.75">
      <c r="A32" s="582" t="s">
        <v>69</v>
      </c>
      <c r="B32" s="579"/>
      <c r="C32" s="579"/>
      <c r="D32" s="846">
        <f>((I6-I10)*(I9+1)/(2*I9))+I10</f>
        <v>2132</v>
      </c>
      <c r="E32" s="582" t="s">
        <v>101</v>
      </c>
      <c r="F32" s="579" t="s">
        <v>102</v>
      </c>
      <c r="G32" s="845">
        <v>134</v>
      </c>
      <c r="H32" s="583"/>
      <c r="I32" s="851">
        <f>G32/(G33*D18)</f>
        <v>0.2791666666666667</v>
      </c>
    </row>
    <row r="33" spans="1:9" ht="12.75">
      <c r="A33" s="582" t="s">
        <v>607</v>
      </c>
      <c r="B33" s="579"/>
      <c r="C33" s="579"/>
      <c r="D33" s="847">
        <f>I20*0.75+I21*0.25</f>
        <v>0.10875</v>
      </c>
      <c r="E33" s="582" t="s">
        <v>6</v>
      </c>
      <c r="F33" s="579" t="s">
        <v>609</v>
      </c>
      <c r="G33" s="476">
        <v>80</v>
      </c>
      <c r="H33" s="579"/>
      <c r="I33" s="801" t="s">
        <v>6</v>
      </c>
    </row>
    <row r="34" spans="1:9" ht="12.75">
      <c r="A34" s="582" t="s">
        <v>621</v>
      </c>
      <c r="B34" s="579"/>
      <c r="C34" s="579"/>
      <c r="D34" s="848">
        <f>(D33*D32)/I7</f>
        <v>0.16801086956521738</v>
      </c>
      <c r="E34" s="582" t="s">
        <v>6</v>
      </c>
      <c r="F34" s="579"/>
      <c r="G34" s="579"/>
      <c r="H34" s="579"/>
      <c r="I34" s="802" t="s">
        <v>6</v>
      </c>
    </row>
    <row r="35" spans="1:9" ht="12.75">
      <c r="A35" s="582" t="s">
        <v>620</v>
      </c>
      <c r="B35" s="579"/>
      <c r="C35" s="579"/>
      <c r="D35" s="848">
        <f>($D$32*'2. COST VARIABLES'!C6)/I7</f>
        <v>0.03089855072463768</v>
      </c>
      <c r="E35" s="582"/>
      <c r="F35" s="579"/>
      <c r="G35" s="579"/>
      <c r="H35" s="579"/>
      <c r="I35" s="802"/>
    </row>
    <row r="36" spans="1:9" ht="13.5" thickBot="1">
      <c r="A36" s="584"/>
      <c r="B36" s="580"/>
      <c r="C36" s="580"/>
      <c r="D36" s="800"/>
      <c r="E36" s="584"/>
      <c r="F36" s="580"/>
      <c r="G36" s="580"/>
      <c r="H36" s="580"/>
      <c r="I36" s="803"/>
    </row>
    <row r="37" spans="1:9" ht="13.5" thickTop="1">
      <c r="A37" s="401"/>
      <c r="B37" s="402"/>
      <c r="C37" s="402"/>
      <c r="D37" s="402"/>
      <c r="E37" s="402"/>
      <c r="F37" s="402"/>
      <c r="G37" s="402"/>
      <c r="H37" s="402"/>
      <c r="I37" s="403"/>
    </row>
    <row r="38" spans="1:9" ht="12.75">
      <c r="A38" s="582" t="s">
        <v>106</v>
      </c>
      <c r="B38" s="579" t="s">
        <v>611</v>
      </c>
      <c r="C38" s="579"/>
      <c r="D38" s="579"/>
      <c r="E38" s="579"/>
      <c r="F38" s="579"/>
      <c r="G38" s="579"/>
      <c r="H38" s="579"/>
      <c r="I38" s="603"/>
    </row>
    <row r="39" spans="1:9" ht="12.75">
      <c r="A39" s="582"/>
      <c r="B39" s="583" t="s">
        <v>108</v>
      </c>
      <c r="C39" s="583"/>
      <c r="D39" s="583"/>
      <c r="E39" s="583"/>
      <c r="F39" s="583"/>
      <c r="G39" s="583"/>
      <c r="H39" s="583"/>
      <c r="I39" s="603"/>
    </row>
    <row r="40" spans="1:9" ht="12.75">
      <c r="A40" s="582"/>
      <c r="B40" s="583" t="s">
        <v>110</v>
      </c>
      <c r="C40" s="583"/>
      <c r="D40" s="583"/>
      <c r="E40" s="583"/>
      <c r="F40" s="583"/>
      <c r="G40" s="583"/>
      <c r="H40" s="583"/>
      <c r="I40" s="603"/>
    </row>
    <row r="41" spans="1:9" ht="12.75">
      <c r="A41" s="582" t="s">
        <v>610</v>
      </c>
      <c r="B41" s="579" t="s">
        <v>111</v>
      </c>
      <c r="C41" s="579"/>
      <c r="D41" s="579"/>
      <c r="E41" s="579"/>
      <c r="F41" s="579"/>
      <c r="G41" s="579"/>
      <c r="H41" s="579"/>
      <c r="I41" s="603"/>
    </row>
    <row r="42" spans="1:9" ht="12.75">
      <c r="A42" s="582"/>
      <c r="B42" s="579" t="s">
        <v>112</v>
      </c>
      <c r="C42" s="579"/>
      <c r="D42" s="579"/>
      <c r="E42" s="579"/>
      <c r="F42" s="579"/>
      <c r="G42" s="583"/>
      <c r="H42" s="583"/>
      <c r="I42" s="605" t="s">
        <v>6</v>
      </c>
    </row>
    <row r="43" spans="1:9" ht="12.75">
      <c r="A43" s="582" t="s">
        <v>113</v>
      </c>
      <c r="B43" s="579"/>
      <c r="C43" s="579"/>
      <c r="D43" s="579"/>
      <c r="E43" s="579"/>
      <c r="F43" s="579"/>
      <c r="G43" s="579"/>
      <c r="H43" s="579"/>
      <c r="I43" s="603"/>
    </row>
    <row r="44" spans="1:9" ht="13.5" thickBot="1">
      <c r="A44" s="584"/>
      <c r="B44" s="580"/>
      <c r="C44" s="580"/>
      <c r="D44" s="580" t="s">
        <v>603</v>
      </c>
      <c r="E44" s="580"/>
      <c r="F44" s="580"/>
      <c r="G44" s="580"/>
      <c r="H44" s="580"/>
      <c r="I44" s="606"/>
    </row>
    <row r="45" spans="1:9" ht="13.5" thickTop="1">
      <c r="A45" s="214"/>
      <c r="B45" s="214"/>
      <c r="C45" s="214"/>
      <c r="D45" s="214"/>
      <c r="E45" s="214"/>
      <c r="F45" s="214"/>
      <c r="G45" s="214"/>
      <c r="H45" s="214"/>
      <c r="I45" s="214"/>
    </row>
    <row r="46" spans="1:9" ht="12.75">
      <c r="A46" s="214"/>
      <c r="B46" s="214"/>
      <c r="C46" s="214"/>
      <c r="D46" s="214"/>
      <c r="E46" s="214"/>
      <c r="F46" s="214"/>
      <c r="G46" s="214"/>
      <c r="H46" s="214"/>
      <c r="I46" s="214"/>
    </row>
    <row r="47" spans="1:9" ht="12.75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ht="12.75">
      <c r="A48" s="214"/>
      <c r="B48" s="214"/>
      <c r="C48" s="214"/>
      <c r="D48" s="214"/>
      <c r="E48" s="214"/>
      <c r="F48" s="214"/>
      <c r="G48" s="214"/>
      <c r="H48" s="214"/>
      <c r="I48" s="214"/>
    </row>
    <row r="49" spans="1:9" ht="12.75">
      <c r="A49" s="214"/>
      <c r="B49" s="214"/>
      <c r="C49" s="214"/>
      <c r="D49" s="214"/>
      <c r="E49" s="214"/>
      <c r="F49" s="214"/>
      <c r="G49" s="214"/>
      <c r="H49" s="214"/>
      <c r="I49" s="214"/>
    </row>
    <row r="50" spans="1:9" ht="12.75">
      <c r="A50" s="214"/>
      <c r="B50" s="214"/>
      <c r="C50" s="214"/>
      <c r="D50" s="214"/>
      <c r="E50" s="214"/>
      <c r="F50" s="214"/>
      <c r="G50" s="214"/>
      <c r="H50" s="214"/>
      <c r="I50" s="214"/>
    </row>
    <row r="51" spans="1:9" ht="12.75">
      <c r="A51" s="214"/>
      <c r="B51" s="214"/>
      <c r="C51" s="214"/>
      <c r="D51" s="214"/>
      <c r="E51" s="214"/>
      <c r="F51" s="214"/>
      <c r="G51" s="214"/>
      <c r="H51" s="214"/>
      <c r="I51" s="214"/>
    </row>
    <row r="52" spans="1:9" ht="12.75">
      <c r="A52" s="214"/>
      <c r="B52" s="214"/>
      <c r="C52" s="370"/>
      <c r="D52" s="214"/>
      <c r="E52" s="214"/>
      <c r="F52" s="214"/>
      <c r="G52" s="214"/>
      <c r="H52" s="214"/>
      <c r="I52" s="214"/>
    </row>
  </sheetData>
  <sheetProtection password="8FA7" sheet="1" objects="1" scenarios="1"/>
  <protectedRanges>
    <protectedRange sqref="C5:E5 D6 D7 D18 I6 I8 I10 I12 I15 I16 I18 I19 I23 G27 G28 G30 G31 G32 G33" name="Range1"/>
  </protectedRanges>
  <mergeCells count="2">
    <mergeCell ref="C5:E5"/>
    <mergeCell ref="A1:I1"/>
  </mergeCells>
  <printOptions/>
  <pageMargins left="0.75" right="0.75" top="0.7" bottom="1" header="0.5" footer="0.5"/>
  <pageSetup blackAndWhite="1" fitToHeight="1" fitToWidth="1" horizontalDpi="600" verticalDpi="600" orientation="portrait" paperSize="9" scale="92" r:id="rId1"/>
  <ignoredErrors>
    <ignoredError sqref="G2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2.75"/>
  <cols>
    <col min="1" max="2" width="9.28125" style="0" bestFit="1" customWidth="1"/>
    <col min="3" max="3" width="10.28125" style="0" customWidth="1"/>
    <col min="4" max="4" width="9.28125" style="0" bestFit="1" customWidth="1"/>
    <col min="5" max="5" width="9.28125" style="0" customWidth="1"/>
    <col min="6" max="6" width="11.140625" style="0" customWidth="1"/>
    <col min="7" max="7" width="10.00390625" style="0" customWidth="1"/>
    <col min="8" max="8" width="8.140625" style="0" customWidth="1"/>
    <col min="9" max="9" width="14.28125" style="0" customWidth="1"/>
    <col min="10" max="10" width="14.00390625" style="0" customWidth="1"/>
    <col min="11" max="11" width="13.57421875" style="0" bestFit="1" customWidth="1"/>
    <col min="13" max="13" width="10.00390625" style="0" bestFit="1" customWidth="1"/>
  </cols>
  <sheetData>
    <row r="1" spans="1:11" ht="13.5" thickBot="1">
      <c r="A1" s="354"/>
      <c r="B1" s="355"/>
      <c r="C1" s="514" t="s">
        <v>466</v>
      </c>
      <c r="D1" s="514"/>
      <c r="E1" s="514"/>
      <c r="F1" s="355"/>
      <c r="G1" s="355"/>
      <c r="H1" s="355"/>
      <c r="I1" s="355"/>
      <c r="J1" s="355"/>
      <c r="K1" s="515"/>
    </row>
    <row r="2" spans="1:11" ht="12.75">
      <c r="A2" s="480" t="s">
        <v>467</v>
      </c>
      <c r="B2" s="479"/>
      <c r="C2" s="479"/>
      <c r="D2" s="479"/>
      <c r="E2" s="479"/>
      <c r="F2" s="489"/>
      <c r="G2" s="480" t="s">
        <v>624</v>
      </c>
      <c r="H2" s="479"/>
      <c r="I2" s="479"/>
      <c r="J2" s="366"/>
      <c r="K2" s="409"/>
    </row>
    <row r="3" spans="1:11" ht="12.75">
      <c r="A3" s="481" t="s">
        <v>38</v>
      </c>
      <c r="B3" s="482"/>
      <c r="C3" s="490">
        <v>260</v>
      </c>
      <c r="D3" s="484"/>
      <c r="E3" s="484"/>
      <c r="F3" s="491"/>
      <c r="G3" s="481" t="s">
        <v>627</v>
      </c>
      <c r="H3" s="482"/>
      <c r="I3" s="482"/>
      <c r="J3" s="845">
        <v>40</v>
      </c>
      <c r="K3" s="380"/>
    </row>
    <row r="4" spans="1:11" ht="12.75">
      <c r="A4" s="481" t="s">
        <v>40</v>
      </c>
      <c r="B4" s="482"/>
      <c r="C4" s="476">
        <v>5</v>
      </c>
      <c r="D4" s="484"/>
      <c r="E4" s="484"/>
      <c r="F4" s="491"/>
      <c r="G4" s="481" t="s">
        <v>625</v>
      </c>
      <c r="H4" s="482"/>
      <c r="I4" s="482"/>
      <c r="J4" s="476">
        <v>0</v>
      </c>
      <c r="K4" s="380"/>
    </row>
    <row r="5" spans="1:11" ht="12.75">
      <c r="A5" s="483"/>
      <c r="B5" s="484"/>
      <c r="C5" s="490">
        <f>SUM(C3:C4)</f>
        <v>265</v>
      </c>
      <c r="D5" s="484"/>
      <c r="E5" s="484"/>
      <c r="F5" s="491"/>
      <c r="G5" s="367"/>
      <c r="H5" s="368"/>
      <c r="I5" s="493" t="s">
        <v>468</v>
      </c>
      <c r="J5" s="493"/>
      <c r="K5" s="857">
        <f>C10*J3*J4</f>
        <v>0</v>
      </c>
    </row>
    <row r="6" spans="1:11" ht="12.75">
      <c r="A6" s="481" t="s">
        <v>48</v>
      </c>
      <c r="B6" s="482"/>
      <c r="C6" s="476">
        <v>20</v>
      </c>
      <c r="D6" s="484"/>
      <c r="E6" s="484"/>
      <c r="F6" s="491"/>
      <c r="G6" s="498" t="s">
        <v>509</v>
      </c>
      <c r="H6" s="493"/>
      <c r="I6" s="493"/>
      <c r="J6" s="493"/>
      <c r="K6" s="494"/>
    </row>
    <row r="7" spans="1:11" ht="12.75">
      <c r="A7" s="481" t="s">
        <v>51</v>
      </c>
      <c r="B7" s="482"/>
      <c r="C7" s="476">
        <v>10</v>
      </c>
      <c r="D7" s="484"/>
      <c r="E7" s="484"/>
      <c r="F7" s="491"/>
      <c r="G7" s="367"/>
      <c r="H7" s="854" t="s">
        <v>52</v>
      </c>
      <c r="I7" s="854" t="s">
        <v>626</v>
      </c>
      <c r="J7" s="11"/>
      <c r="K7" s="380"/>
    </row>
    <row r="8" spans="1:11" ht="12.75">
      <c r="A8" s="481" t="s">
        <v>56</v>
      </c>
      <c r="B8" s="482"/>
      <c r="C8" s="476">
        <v>3</v>
      </c>
      <c r="D8" s="484"/>
      <c r="E8" s="484"/>
      <c r="F8" s="491"/>
      <c r="G8" s="499" t="s">
        <v>57</v>
      </c>
      <c r="H8" s="476">
        <v>5</v>
      </c>
      <c r="I8" s="845">
        <v>6900</v>
      </c>
      <c r="J8" s="22"/>
      <c r="K8" s="380"/>
    </row>
    <row r="9" spans="1:11" ht="12.75">
      <c r="A9" s="481" t="s">
        <v>59</v>
      </c>
      <c r="B9" s="482"/>
      <c r="C9" s="476">
        <v>2</v>
      </c>
      <c r="D9" s="484"/>
      <c r="E9" s="484"/>
      <c r="F9" s="491"/>
      <c r="G9" s="499" t="s">
        <v>60</v>
      </c>
      <c r="H9" s="476">
        <v>0</v>
      </c>
      <c r="I9" s="845">
        <v>5000</v>
      </c>
      <c r="J9" s="493" t="s">
        <v>25</v>
      </c>
      <c r="K9" s="855">
        <f>(H8*I8)+(H9*I9)</f>
        <v>34500</v>
      </c>
    </row>
    <row r="10" spans="1:11" ht="12.75">
      <c r="A10" s="481" t="s">
        <v>469</v>
      </c>
      <c r="B10" s="482"/>
      <c r="C10" s="490">
        <f>C5-C6-C7-C8-C9</f>
        <v>230</v>
      </c>
      <c r="D10" s="484"/>
      <c r="E10" s="484"/>
      <c r="F10" s="491"/>
      <c r="G10" s="498" t="s">
        <v>63</v>
      </c>
      <c r="H10" s="493"/>
      <c r="I10" s="493"/>
      <c r="J10" s="493"/>
      <c r="K10" s="767"/>
    </row>
    <row r="11" spans="1:11" ht="13.5" thickBot="1">
      <c r="A11" s="485"/>
      <c r="B11" s="486"/>
      <c r="C11" s="486"/>
      <c r="D11" s="486"/>
      <c r="E11" s="486"/>
      <c r="F11" s="492"/>
      <c r="G11" s="485"/>
      <c r="H11" s="486"/>
      <c r="I11" s="486"/>
      <c r="J11" s="500" t="s">
        <v>470</v>
      </c>
      <c r="K11" s="840">
        <f>K5+K9+K10</f>
        <v>34500</v>
      </c>
    </row>
    <row r="12" spans="1:11" ht="12.75">
      <c r="A12" s="634" t="s">
        <v>472</v>
      </c>
      <c r="B12" s="479"/>
      <c r="C12" s="479"/>
      <c r="D12" s="479"/>
      <c r="E12" s="479"/>
      <c r="F12" s="489"/>
      <c r="G12" s="488" t="s">
        <v>471</v>
      </c>
      <c r="H12" s="488"/>
      <c r="I12" s="479"/>
      <c r="J12" s="479"/>
      <c r="K12" s="489"/>
    </row>
    <row r="13" spans="1:11" ht="12.75">
      <c r="A13" s="483" t="s">
        <v>623</v>
      </c>
      <c r="B13" s="484"/>
      <c r="C13" s="484"/>
      <c r="D13" s="493"/>
      <c r="E13" s="493"/>
      <c r="F13" s="494"/>
      <c r="G13" s="501" t="s">
        <v>6</v>
      </c>
      <c r="H13" s="502" t="s">
        <v>473</v>
      </c>
      <c r="I13" s="502" t="s">
        <v>502</v>
      </c>
      <c r="J13" s="502" t="s">
        <v>474</v>
      </c>
      <c r="K13" s="491" t="s">
        <v>25</v>
      </c>
    </row>
    <row r="14" spans="1:11" ht="12.75">
      <c r="A14" s="853" t="s">
        <v>510</v>
      </c>
      <c r="B14" s="487" t="s">
        <v>508</v>
      </c>
      <c r="C14" s="487" t="s">
        <v>504</v>
      </c>
      <c r="D14" s="495" t="s">
        <v>622</v>
      </c>
      <c r="E14" s="495" t="s">
        <v>504</v>
      </c>
      <c r="F14" s="496" t="s">
        <v>25</v>
      </c>
      <c r="G14" s="503" t="s">
        <v>475</v>
      </c>
      <c r="H14" s="490">
        <f>C10+C9+C8+C7</f>
        <v>245</v>
      </c>
      <c r="I14" s="887">
        <f>F26</f>
        <v>1339</v>
      </c>
      <c r="J14" s="504">
        <f>F27</f>
        <v>20.921875</v>
      </c>
      <c r="K14" s="855">
        <f>H14*I14</f>
        <v>328055</v>
      </c>
    </row>
    <row r="15" spans="1:11" ht="12.75">
      <c r="A15" s="513">
        <v>1</v>
      </c>
      <c r="B15" s="845">
        <v>20</v>
      </c>
      <c r="C15" s="476">
        <v>9</v>
      </c>
      <c r="D15" s="478">
        <v>5</v>
      </c>
      <c r="E15" s="510">
        <f>C15*D15</f>
        <v>45</v>
      </c>
      <c r="F15" s="855">
        <f>B15*C15*D15</f>
        <v>900</v>
      </c>
      <c r="G15" s="503"/>
      <c r="H15" s="490"/>
      <c r="I15" s="490"/>
      <c r="J15" s="490"/>
      <c r="K15" s="497"/>
    </row>
    <row r="16" spans="1:11" ht="12.75">
      <c r="A16" s="513">
        <v>2</v>
      </c>
      <c r="B16" s="845">
        <v>21</v>
      </c>
      <c r="C16" s="476">
        <v>9</v>
      </c>
      <c r="D16" s="478">
        <v>1</v>
      </c>
      <c r="E16" s="510">
        <f aca="true" t="shared" si="0" ref="E16:E25">C16*D16</f>
        <v>9</v>
      </c>
      <c r="F16" s="855">
        <f aca="true" t="shared" si="1" ref="F16:F25">B16*C16*D16</f>
        <v>189</v>
      </c>
      <c r="G16" s="505" t="s">
        <v>631</v>
      </c>
      <c r="H16" s="11"/>
      <c r="I16" s="11"/>
      <c r="J16" s="11"/>
      <c r="K16" s="767"/>
    </row>
    <row r="17" spans="1:11" ht="12.75">
      <c r="A17" s="513">
        <v>3</v>
      </c>
      <c r="B17" s="845">
        <v>18</v>
      </c>
      <c r="C17" s="476">
        <v>9</v>
      </c>
      <c r="D17" s="478">
        <v>0</v>
      </c>
      <c r="E17" s="510">
        <f t="shared" si="0"/>
        <v>0</v>
      </c>
      <c r="F17" s="855">
        <f t="shared" si="1"/>
        <v>0</v>
      </c>
      <c r="G17" s="481" t="s">
        <v>476</v>
      </c>
      <c r="H17" s="476">
        <v>230</v>
      </c>
      <c r="I17" s="845"/>
      <c r="J17" s="724"/>
      <c r="K17" s="855">
        <f>H17*I17</f>
        <v>0</v>
      </c>
    </row>
    <row r="18" spans="1:11" ht="12.75">
      <c r="A18" s="513">
        <v>4</v>
      </c>
      <c r="B18" s="845">
        <v>16</v>
      </c>
      <c r="C18" s="476">
        <v>9</v>
      </c>
      <c r="D18" s="478">
        <v>0</v>
      </c>
      <c r="E18" s="510">
        <f t="shared" si="0"/>
        <v>0</v>
      </c>
      <c r="F18" s="855">
        <f t="shared" si="1"/>
        <v>0</v>
      </c>
      <c r="G18" s="506" t="s">
        <v>632</v>
      </c>
      <c r="H18" s="484"/>
      <c r="I18" s="507"/>
      <c r="J18" s="490" t="s">
        <v>477</v>
      </c>
      <c r="K18" s="855">
        <f>SUM(K14:K17)</f>
        <v>328055</v>
      </c>
    </row>
    <row r="19" spans="1:11" ht="12.75">
      <c r="A19" s="513">
        <v>5</v>
      </c>
      <c r="B19" s="845">
        <v>19</v>
      </c>
      <c r="C19" s="476">
        <v>9</v>
      </c>
      <c r="D19" s="478">
        <v>0</v>
      </c>
      <c r="E19" s="510">
        <f t="shared" si="0"/>
        <v>0</v>
      </c>
      <c r="F19" s="855">
        <f t="shared" si="1"/>
        <v>0</v>
      </c>
      <c r="G19" s="367"/>
      <c r="H19" s="22"/>
      <c r="I19" s="22"/>
      <c r="J19" s="11"/>
      <c r="K19" s="380"/>
    </row>
    <row r="20" spans="1:13" ht="12.75">
      <c r="A20" s="513">
        <v>6</v>
      </c>
      <c r="B20" s="845"/>
      <c r="C20" s="476"/>
      <c r="D20" s="478"/>
      <c r="E20" s="510">
        <f t="shared" si="0"/>
        <v>0</v>
      </c>
      <c r="F20" s="855">
        <f t="shared" si="1"/>
        <v>0</v>
      </c>
      <c r="G20" s="481" t="s">
        <v>532</v>
      </c>
      <c r="H20" s="493"/>
      <c r="I20" s="493"/>
      <c r="J20" s="504">
        <f>C6</f>
        <v>20</v>
      </c>
      <c r="K20" s="855">
        <f>(J20/H14)*K18</f>
        <v>26779.999999999996</v>
      </c>
      <c r="M20" s="727"/>
    </row>
    <row r="21" spans="1:11" ht="12.75">
      <c r="A21" s="513">
        <v>7</v>
      </c>
      <c r="B21" s="845"/>
      <c r="C21" s="476"/>
      <c r="D21" s="478"/>
      <c r="E21" s="510">
        <f t="shared" si="0"/>
        <v>0</v>
      </c>
      <c r="F21" s="855">
        <f t="shared" si="1"/>
        <v>0</v>
      </c>
      <c r="G21" s="367"/>
      <c r="H21" s="22"/>
      <c r="I21" s="22"/>
      <c r="J21" s="11"/>
      <c r="K21" s="380"/>
    </row>
    <row r="22" spans="1:11" ht="12.75">
      <c r="A22" s="513">
        <v>8</v>
      </c>
      <c r="B22" s="845"/>
      <c r="C22" s="476"/>
      <c r="D22" s="478"/>
      <c r="E22" s="510">
        <f t="shared" si="0"/>
        <v>0</v>
      </c>
      <c r="F22" s="855">
        <f t="shared" si="1"/>
        <v>0</v>
      </c>
      <c r="G22" s="498" t="s">
        <v>511</v>
      </c>
      <c r="H22" s="493"/>
      <c r="I22" s="493"/>
      <c r="J22" s="476">
        <v>6.71</v>
      </c>
      <c r="K22" s="855">
        <f>(J22/100)*(K18+K20)</f>
        <v>23809.428499999998</v>
      </c>
    </row>
    <row r="23" spans="1:11" ht="12.75">
      <c r="A23" s="513">
        <v>9</v>
      </c>
      <c r="B23" s="845"/>
      <c r="C23" s="476"/>
      <c r="D23" s="478"/>
      <c r="E23" s="510">
        <f t="shared" si="0"/>
        <v>0</v>
      </c>
      <c r="F23" s="855">
        <f t="shared" si="1"/>
        <v>0</v>
      </c>
      <c r="G23" s="33"/>
      <c r="H23" s="11"/>
      <c r="I23" s="11"/>
      <c r="J23" s="11"/>
      <c r="K23" s="380"/>
    </row>
    <row r="24" spans="1:11" ht="12.75">
      <c r="A24" s="513">
        <v>10</v>
      </c>
      <c r="B24" s="845"/>
      <c r="C24" s="476"/>
      <c r="D24" s="478"/>
      <c r="E24" s="510">
        <f t="shared" si="0"/>
        <v>0</v>
      </c>
      <c r="F24" s="855">
        <f t="shared" si="1"/>
        <v>0</v>
      </c>
      <c r="G24" s="728" t="s">
        <v>543</v>
      </c>
      <c r="H24" s="729"/>
      <c r="I24" s="730" t="s">
        <v>544</v>
      </c>
      <c r="J24" s="731">
        <v>0.02</v>
      </c>
      <c r="K24" s="888">
        <f>(K18+K20)*J24</f>
        <v>7096.7</v>
      </c>
    </row>
    <row r="25" spans="1:11" ht="12.75">
      <c r="A25" s="513" t="s">
        <v>478</v>
      </c>
      <c r="B25" s="845">
        <v>25</v>
      </c>
      <c r="C25" s="476">
        <v>10</v>
      </c>
      <c r="D25" s="478">
        <v>1</v>
      </c>
      <c r="E25" s="510">
        <f t="shared" si="0"/>
        <v>10</v>
      </c>
      <c r="F25" s="855">
        <f t="shared" si="1"/>
        <v>250</v>
      </c>
      <c r="G25" s="481" t="s">
        <v>629</v>
      </c>
      <c r="H25" s="482"/>
      <c r="I25" s="482"/>
      <c r="J25" s="482"/>
      <c r="K25" s="889">
        <f>K18+K20+K22+K24</f>
        <v>385741.1285</v>
      </c>
    </row>
    <row r="26" spans="1:11" ht="12.75">
      <c r="A26" s="483"/>
      <c r="B26" s="484" t="s">
        <v>25</v>
      </c>
      <c r="C26" s="490"/>
      <c r="D26" s="510">
        <f>SUM(D15:D25)</f>
        <v>7</v>
      </c>
      <c r="E26" s="510">
        <f>SUM(E15:E25)</f>
        <v>64</v>
      </c>
      <c r="F26" s="856">
        <f>SUM(F15:F25)</f>
        <v>1339</v>
      </c>
      <c r="G26" s="481" t="s">
        <v>633</v>
      </c>
      <c r="H26" s="482"/>
      <c r="I26" s="482"/>
      <c r="J26" s="859" t="s">
        <v>630</v>
      </c>
      <c r="K26" s="855">
        <f>K11</f>
        <v>34500</v>
      </c>
    </row>
    <row r="27" spans="1:11" ht="13.5" thickBot="1">
      <c r="A27" s="483"/>
      <c r="B27" s="484" t="s">
        <v>501</v>
      </c>
      <c r="C27" s="484"/>
      <c r="D27" s="484"/>
      <c r="E27" s="484"/>
      <c r="F27" s="856">
        <f>F26/E26</f>
        <v>20.921875</v>
      </c>
      <c r="G27" s="861" t="s">
        <v>634</v>
      </c>
      <c r="H27" s="482"/>
      <c r="I27" s="482"/>
      <c r="J27" s="859" t="s">
        <v>630</v>
      </c>
      <c r="K27" s="890">
        <f>K25+K26</f>
        <v>420241.1285</v>
      </c>
    </row>
    <row r="28" spans="1:11" ht="14.25" thickBot="1" thickTop="1">
      <c r="A28" s="485"/>
      <c r="B28" s="486" t="s">
        <v>503</v>
      </c>
      <c r="C28" s="486"/>
      <c r="D28" s="486"/>
      <c r="E28" s="486"/>
      <c r="F28" s="511">
        <f>SUM(D15:D25)</f>
        <v>7</v>
      </c>
      <c r="G28" s="508" t="s">
        <v>100</v>
      </c>
      <c r="H28" s="493"/>
      <c r="I28" s="493"/>
      <c r="J28" s="859" t="s">
        <v>630</v>
      </c>
      <c r="K28" s="891">
        <f>K27/C10</f>
        <v>1827.1353413043478</v>
      </c>
    </row>
    <row r="29" spans="1:11" ht="12.75">
      <c r="A29" s="483"/>
      <c r="B29" s="484"/>
      <c r="C29" s="484"/>
      <c r="D29" s="484"/>
      <c r="E29" s="484"/>
      <c r="F29" s="484"/>
      <c r="G29" s="858" t="s">
        <v>628</v>
      </c>
      <c r="H29" s="509"/>
      <c r="I29" s="484"/>
      <c r="J29" s="484"/>
      <c r="K29" s="892">
        <f>K28/F28</f>
        <v>261.0193344720497</v>
      </c>
    </row>
    <row r="30" spans="1:11" ht="13.5" thickBot="1">
      <c r="A30" s="485"/>
      <c r="B30" s="486"/>
      <c r="C30" s="486"/>
      <c r="D30" s="486"/>
      <c r="E30" s="486"/>
      <c r="F30" s="486"/>
      <c r="G30" s="512"/>
      <c r="H30" s="486"/>
      <c r="I30" s="486"/>
      <c r="J30" s="486"/>
      <c r="K30" s="860"/>
    </row>
  </sheetData>
  <sheetProtection password="8FA7" sheet="1" objects="1" scenarios="1"/>
  <protectedRanges>
    <protectedRange password="8FA7" sqref="C4 C6:C9 B15:D25 J3:J4 H8:I9 K10 K16 H17:I17 J22 J24" name="Range2"/>
  </protectedRanges>
  <printOptions/>
  <pageMargins left="0.75" right="0.75" top="1" bottom="1" header="0.5" footer="0.5"/>
  <pageSetup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:I1"/>
    </sheetView>
  </sheetViews>
  <sheetFormatPr defaultColWidth="9.140625" defaultRowHeight="12.75"/>
  <cols>
    <col min="1" max="1" width="14.7109375" style="0" customWidth="1"/>
    <col min="2" max="2" width="11.28125" style="0" customWidth="1"/>
    <col min="3" max="3" width="21.140625" style="0" customWidth="1"/>
    <col min="4" max="4" width="16.8515625" style="334" customWidth="1"/>
    <col min="5" max="5" width="5.7109375" style="339" customWidth="1"/>
    <col min="6" max="6" width="21.140625" style="328" customWidth="1"/>
    <col min="7" max="7" width="13.140625" style="328" customWidth="1"/>
    <col min="8" max="8" width="13.421875" style="328" customWidth="1"/>
    <col min="9" max="9" width="16.8515625" style="333" customWidth="1"/>
    <col min="10" max="11" width="9.140625" style="328" customWidth="1"/>
  </cols>
  <sheetData>
    <row r="1" spans="1:9" s="214" customFormat="1" ht="24" thickBot="1">
      <c r="A1" s="896" t="s">
        <v>461</v>
      </c>
      <c r="B1" s="897"/>
      <c r="C1" s="897"/>
      <c r="D1" s="897"/>
      <c r="E1" s="897"/>
      <c r="F1" s="897"/>
      <c r="G1" s="897"/>
      <c r="H1" s="897"/>
      <c r="I1" s="898"/>
    </row>
    <row r="2" spans="1:9" s="214" customFormat="1" ht="18" customHeight="1" thickBot="1">
      <c r="A2" s="431" t="s">
        <v>538</v>
      </c>
      <c r="B2" s="433"/>
      <c r="C2" s="433"/>
      <c r="D2" s="657"/>
      <c r="E2" s="657"/>
      <c r="F2" s="432"/>
      <c r="G2" s="433"/>
      <c r="H2" s="433"/>
      <c r="I2" s="658"/>
    </row>
    <row r="3" spans="1:11" ht="13.5" thickBot="1">
      <c r="A3" s="329"/>
      <c r="B3" s="322"/>
      <c r="C3" s="322"/>
      <c r="D3" s="335"/>
      <c r="E3" s="335"/>
      <c r="F3" s="322"/>
      <c r="G3" s="322"/>
      <c r="H3" s="322"/>
      <c r="I3" s="330"/>
      <c r="J3"/>
      <c r="K3"/>
    </row>
    <row r="4" spans="1:11" ht="16.5" thickBot="1">
      <c r="A4" s="607" t="s">
        <v>462</v>
      </c>
      <c r="B4" s="484"/>
      <c r="C4" s="484"/>
      <c r="D4" s="608"/>
      <c r="E4" s="340"/>
      <c r="F4" s="624" t="s">
        <v>463</v>
      </c>
      <c r="G4" s="484"/>
      <c r="H4" s="484"/>
      <c r="I4" s="625"/>
      <c r="J4"/>
      <c r="K4"/>
    </row>
    <row r="5" spans="1:11" ht="13.5" thickBot="1">
      <c r="A5" s="609" t="s">
        <v>418</v>
      </c>
      <c r="B5" s="547"/>
      <c r="C5" s="610"/>
      <c r="D5" s="659" t="s">
        <v>480</v>
      </c>
      <c r="E5" s="343"/>
      <c r="F5" s="626" t="s">
        <v>418</v>
      </c>
      <c r="G5" s="547"/>
      <c r="H5" s="627"/>
      <c r="I5" s="667" t="s">
        <v>481</v>
      </c>
      <c r="J5"/>
      <c r="K5"/>
    </row>
    <row r="6" spans="1:11" ht="12.75">
      <c r="A6" s="611" t="s">
        <v>46</v>
      </c>
      <c r="B6" s="612"/>
      <c r="C6" s="612"/>
      <c r="D6" s="660" t="s">
        <v>47</v>
      </c>
      <c r="E6" s="340"/>
      <c r="F6" s="628" t="s">
        <v>46</v>
      </c>
      <c r="G6" s="612"/>
      <c r="H6" s="612"/>
      <c r="I6" s="668" t="s">
        <v>47</v>
      </c>
      <c r="J6"/>
      <c r="K6"/>
    </row>
    <row r="7" spans="1:11" ht="12.75">
      <c r="A7" s="613" t="s">
        <v>50</v>
      </c>
      <c r="B7" s="614"/>
      <c r="C7" s="614"/>
      <c r="D7" s="661">
        <v>3000</v>
      </c>
      <c r="E7" s="340"/>
      <c r="F7" s="629" t="s">
        <v>50</v>
      </c>
      <c r="G7" s="614"/>
      <c r="H7" s="614"/>
      <c r="I7" s="669">
        <v>3000</v>
      </c>
      <c r="J7"/>
      <c r="K7"/>
    </row>
    <row r="8" spans="1:11" ht="13.5" thickBot="1">
      <c r="A8" s="615" t="s">
        <v>53</v>
      </c>
      <c r="B8" s="616"/>
      <c r="C8" s="616"/>
      <c r="D8" s="662">
        <v>2008</v>
      </c>
      <c r="E8" s="340"/>
      <c r="F8" s="630" t="s">
        <v>53</v>
      </c>
      <c r="G8" s="616"/>
      <c r="H8" s="616"/>
      <c r="I8" s="670">
        <v>2008</v>
      </c>
      <c r="J8"/>
      <c r="K8"/>
    </row>
    <row r="9" spans="1:11" ht="12.75">
      <c r="A9" s="617" t="s">
        <v>49</v>
      </c>
      <c r="B9" s="612"/>
      <c r="C9" s="618"/>
      <c r="D9" s="663">
        <v>44300</v>
      </c>
      <c r="E9" s="344"/>
      <c r="F9" s="617" t="s">
        <v>49</v>
      </c>
      <c r="G9" s="612"/>
      <c r="H9" s="612"/>
      <c r="I9" s="671">
        <v>39700</v>
      </c>
      <c r="J9"/>
      <c r="K9"/>
    </row>
    <row r="10" spans="1:11" ht="12.75">
      <c r="A10" s="483" t="s">
        <v>438</v>
      </c>
      <c r="B10" s="614"/>
      <c r="C10" s="614"/>
      <c r="D10" s="664">
        <v>160</v>
      </c>
      <c r="E10" s="340"/>
      <c r="F10" s="483" t="s">
        <v>438</v>
      </c>
      <c r="G10" s="614"/>
      <c r="H10" s="614"/>
      <c r="I10" s="664">
        <v>160</v>
      </c>
      <c r="J10"/>
      <c r="K10"/>
    </row>
    <row r="11" spans="1:11" ht="12.75">
      <c r="A11" s="619" t="s">
        <v>55</v>
      </c>
      <c r="B11" s="614"/>
      <c r="C11" s="614"/>
      <c r="D11" s="621">
        <f>D10*'6. LABOUR'!C10</f>
        <v>36800</v>
      </c>
      <c r="E11" s="340"/>
      <c r="F11" s="619" t="s">
        <v>55</v>
      </c>
      <c r="G11" s="614"/>
      <c r="H11" s="614"/>
      <c r="I11" s="631">
        <f>I10*'6. LABOUR'!C10</f>
        <v>36800</v>
      </c>
      <c r="J11"/>
      <c r="K11"/>
    </row>
    <row r="12" spans="1:11" ht="12.75">
      <c r="A12" s="619" t="s">
        <v>58</v>
      </c>
      <c r="B12" s="614"/>
      <c r="C12" s="614"/>
      <c r="D12" s="871">
        <v>100000</v>
      </c>
      <c r="E12" s="340"/>
      <c r="F12" s="619" t="s">
        <v>58</v>
      </c>
      <c r="G12" s="614"/>
      <c r="H12" s="614"/>
      <c r="I12" s="872">
        <v>100000</v>
      </c>
      <c r="J12"/>
      <c r="K12"/>
    </row>
    <row r="13" spans="1:11" ht="12.75">
      <c r="A13" s="619" t="s">
        <v>62</v>
      </c>
      <c r="B13" s="614"/>
      <c r="C13" s="614"/>
      <c r="D13" s="666">
        <v>19000</v>
      </c>
      <c r="E13" s="344"/>
      <c r="F13" s="619" t="s">
        <v>62</v>
      </c>
      <c r="G13" s="614"/>
      <c r="H13" s="614"/>
      <c r="I13" s="673">
        <v>19000</v>
      </c>
      <c r="J13"/>
      <c r="K13"/>
    </row>
    <row r="14" spans="1:11" ht="12.75">
      <c r="A14" s="619" t="s">
        <v>65</v>
      </c>
      <c r="B14" s="614"/>
      <c r="C14" s="614"/>
      <c r="D14" s="873">
        <v>35000</v>
      </c>
      <c r="E14" s="345"/>
      <c r="F14" s="619" t="s">
        <v>65</v>
      </c>
      <c r="G14" s="614"/>
      <c r="H14" s="614"/>
      <c r="I14" s="874">
        <v>35000</v>
      </c>
      <c r="J14"/>
      <c r="K14"/>
    </row>
    <row r="15" spans="1:11" ht="12.75">
      <c r="A15" s="619" t="s">
        <v>533</v>
      </c>
      <c r="B15" s="614"/>
      <c r="C15" s="614"/>
      <c r="D15" s="878">
        <v>800</v>
      </c>
      <c r="E15" s="346"/>
      <c r="F15" s="619" t="s">
        <v>533</v>
      </c>
      <c r="G15" s="614"/>
      <c r="H15" s="614"/>
      <c r="I15" s="875">
        <v>800</v>
      </c>
      <c r="J15"/>
      <c r="K15"/>
    </row>
    <row r="16" spans="1:11" ht="12.75">
      <c r="A16" s="619" t="s">
        <v>67</v>
      </c>
      <c r="B16" s="614"/>
      <c r="C16" s="614"/>
      <c r="D16" s="877">
        <v>340</v>
      </c>
      <c r="E16" s="344"/>
      <c r="F16" s="619" t="s">
        <v>67</v>
      </c>
      <c r="G16" s="614"/>
      <c r="H16" s="614"/>
      <c r="I16" s="876">
        <v>340</v>
      </c>
      <c r="J16"/>
      <c r="K16"/>
    </row>
    <row r="17" spans="1:11" ht="13.5" thickBot="1">
      <c r="A17" s="619" t="s">
        <v>482</v>
      </c>
      <c r="B17" s="614"/>
      <c r="C17" s="614"/>
      <c r="D17" s="867">
        <f>IF(D6="D",'2. COST VARIABLES'!C9,0)</f>
        <v>33.78</v>
      </c>
      <c r="E17" s="344"/>
      <c r="F17" s="620" t="s">
        <v>482</v>
      </c>
      <c r="G17" s="616"/>
      <c r="H17" s="616"/>
      <c r="I17" s="868">
        <f>IF(I6="D",'2. COST VARIABLES'!C9,0)</f>
        <v>33.78</v>
      </c>
      <c r="J17"/>
      <c r="K17"/>
    </row>
    <row r="18" spans="1:11" ht="12.75">
      <c r="A18" s="617" t="s">
        <v>69</v>
      </c>
      <c r="B18" s="612"/>
      <c r="C18" s="612"/>
      <c r="D18" s="865">
        <f>D28</f>
        <v>31650.1265</v>
      </c>
      <c r="E18" s="347"/>
      <c r="F18" s="617" t="s">
        <v>69</v>
      </c>
      <c r="G18" s="612"/>
      <c r="H18" s="612"/>
      <c r="I18" s="866">
        <f>I28</f>
        <v>29350.103499999997</v>
      </c>
      <c r="J18"/>
      <c r="K18"/>
    </row>
    <row r="19" spans="1:11" ht="12.75">
      <c r="A19" s="619" t="s">
        <v>71</v>
      </c>
      <c r="B19" s="614"/>
      <c r="C19" s="614"/>
      <c r="D19" s="862">
        <v>0.75</v>
      </c>
      <c r="E19" s="340"/>
      <c r="F19" s="619" t="s">
        <v>71</v>
      </c>
      <c r="G19" s="614"/>
      <c r="H19" s="614"/>
      <c r="I19" s="863">
        <v>0.75</v>
      </c>
      <c r="J19"/>
      <c r="K19"/>
    </row>
    <row r="20" spans="1:11" ht="13.5" thickBot="1">
      <c r="A20" s="620" t="s">
        <v>74</v>
      </c>
      <c r="B20" s="616"/>
      <c r="C20" s="616"/>
      <c r="D20" s="862">
        <v>0.25</v>
      </c>
      <c r="E20" s="340"/>
      <c r="F20" s="620" t="s">
        <v>74</v>
      </c>
      <c r="G20" s="616"/>
      <c r="H20" s="616"/>
      <c r="I20" s="864">
        <v>0.25</v>
      </c>
      <c r="J20"/>
      <c r="K20"/>
    </row>
    <row r="21" spans="1:11" ht="12.75">
      <c r="A21" s="619" t="s">
        <v>78</v>
      </c>
      <c r="B21" s="614"/>
      <c r="C21" s="614"/>
      <c r="D21" s="622">
        <f>'2. COST VARIABLES'!C4</f>
        <v>0.11</v>
      </c>
      <c r="E21" s="348"/>
      <c r="F21" s="619" t="s">
        <v>78</v>
      </c>
      <c r="G21" s="614"/>
      <c r="H21" s="614"/>
      <c r="I21" s="632">
        <f>'2. COST VARIABLES'!C4</f>
        <v>0.11</v>
      </c>
      <c r="J21"/>
      <c r="K21"/>
    </row>
    <row r="22" spans="1:11" ht="12.75">
      <c r="A22" s="619" t="s">
        <v>542</v>
      </c>
      <c r="B22" s="614"/>
      <c r="C22" s="614"/>
      <c r="D22" s="725">
        <f>'2. COST VARIABLES'!C5</f>
        <v>0.105</v>
      </c>
      <c r="E22" s="349"/>
      <c r="F22" s="619" t="s">
        <v>542</v>
      </c>
      <c r="G22" s="614"/>
      <c r="H22" s="614"/>
      <c r="I22" s="726">
        <f>'2. COST VARIABLES'!C5</f>
        <v>0.105</v>
      </c>
      <c r="J22"/>
      <c r="K22"/>
    </row>
    <row r="23" spans="1:11" ht="12.75">
      <c r="A23" s="619" t="s">
        <v>85</v>
      </c>
      <c r="B23" s="614"/>
      <c r="C23" s="614"/>
      <c r="D23" s="623">
        <f>IF(D6="D",'2. COST VARIABLES'!C7,'2. COST VARIABLES'!C8)</f>
        <v>0.98</v>
      </c>
      <c r="E23" s="350"/>
      <c r="F23" s="619" t="s">
        <v>85</v>
      </c>
      <c r="G23" s="614"/>
      <c r="H23" s="614"/>
      <c r="I23" s="633">
        <f>IF(I6="D",'2. COST VARIABLES'!C7,'2. COST VARIABLES'!C8)</f>
        <v>0.98</v>
      </c>
      <c r="J23"/>
      <c r="K23"/>
    </row>
    <row r="24" spans="1:11" ht="13.5" thickBot="1">
      <c r="A24" s="619" t="s">
        <v>88</v>
      </c>
      <c r="B24" s="614"/>
      <c r="C24" s="614"/>
      <c r="D24" s="665">
        <v>25</v>
      </c>
      <c r="E24" s="340"/>
      <c r="F24" s="620" t="s">
        <v>88</v>
      </c>
      <c r="G24" s="616"/>
      <c r="H24" s="616"/>
      <c r="I24" s="674">
        <v>25</v>
      </c>
      <c r="J24"/>
      <c r="K24"/>
    </row>
    <row r="25" spans="1:11" ht="13.5" thickBot="1">
      <c r="A25" s="329"/>
      <c r="B25" s="322"/>
      <c r="C25" s="322"/>
      <c r="D25" s="335"/>
      <c r="E25" s="340"/>
      <c r="F25" s="322"/>
      <c r="G25" s="322"/>
      <c r="H25" s="322"/>
      <c r="I25" s="330"/>
      <c r="J25"/>
      <c r="K25"/>
    </row>
    <row r="26" spans="1:11" ht="12.75">
      <c r="A26" s="634" t="s">
        <v>641</v>
      </c>
      <c r="B26" s="484"/>
      <c r="C26" s="484"/>
      <c r="D26" s="635"/>
      <c r="E26" s="350"/>
      <c r="F26" s="634" t="s">
        <v>641</v>
      </c>
      <c r="G26" s="484"/>
      <c r="H26" s="484"/>
      <c r="I26" s="642"/>
      <c r="J26"/>
      <c r="K26"/>
    </row>
    <row r="27" spans="1:11" ht="12.75">
      <c r="A27" s="483" t="s">
        <v>635</v>
      </c>
      <c r="B27" s="484"/>
      <c r="C27" s="484"/>
      <c r="D27" s="639">
        <f>(D9-D15-D13)/D12</f>
        <v>0.245</v>
      </c>
      <c r="E27" s="350"/>
      <c r="F27" s="484" t="s">
        <v>635</v>
      </c>
      <c r="G27" s="484"/>
      <c r="H27" s="484"/>
      <c r="I27" s="646">
        <f>(I9-I15-I13)/I12</f>
        <v>0.199</v>
      </c>
      <c r="J27"/>
      <c r="K27"/>
    </row>
    <row r="28" spans="1:11" ht="12.75">
      <c r="A28" s="483" t="s">
        <v>69</v>
      </c>
      <c r="B28" s="484"/>
      <c r="C28" s="484"/>
      <c r="D28" s="636">
        <f>((D9-D13)*(D12+1)/(2*D12))+D13</f>
        <v>31650.1265</v>
      </c>
      <c r="E28" s="344"/>
      <c r="F28" s="484" t="s">
        <v>69</v>
      </c>
      <c r="G28" s="484"/>
      <c r="H28" s="484"/>
      <c r="I28" s="643">
        <f>((I9-I13)*(I12+1)/(2*I12))+I13</f>
        <v>29350.103499999997</v>
      </c>
      <c r="J28"/>
      <c r="K28"/>
    </row>
    <row r="29" spans="1:11" ht="12.75">
      <c r="A29" s="483" t="s">
        <v>645</v>
      </c>
      <c r="B29" s="484"/>
      <c r="C29" s="484"/>
      <c r="D29" s="637">
        <f>(D19*D21)+(D20*D22)</f>
        <v>0.10875</v>
      </c>
      <c r="E29" s="348"/>
      <c r="F29" s="483" t="s">
        <v>645</v>
      </c>
      <c r="G29" s="484"/>
      <c r="H29" s="484"/>
      <c r="I29" s="644">
        <f>(I19*I21)+(I20*I22)</f>
        <v>0.10875</v>
      </c>
      <c r="J29"/>
      <c r="K29"/>
    </row>
    <row r="30" spans="1:11" ht="12.75">
      <c r="A30" s="483" t="s">
        <v>104</v>
      </c>
      <c r="B30" s="484"/>
      <c r="C30" s="484"/>
      <c r="D30" s="638">
        <f>(D29*D28)/D11</f>
        <v>0.09353128415421194</v>
      </c>
      <c r="E30" s="351"/>
      <c r="F30" s="484" t="s">
        <v>104</v>
      </c>
      <c r="G30" s="484"/>
      <c r="H30" s="484"/>
      <c r="I30" s="645">
        <f>(I29*I28)/I11</f>
        <v>0.08673434118546194</v>
      </c>
      <c r="J30"/>
      <c r="K30"/>
    </row>
    <row r="31" spans="1:11" ht="12.75">
      <c r="A31" s="483" t="s">
        <v>642</v>
      </c>
      <c r="B31" s="484"/>
      <c r="C31" s="484"/>
      <c r="D31" s="639">
        <f>(D28*'2. COST VARIABLES'!C6)/D11</f>
        <v>0.01720115570652174</v>
      </c>
      <c r="E31" s="352"/>
      <c r="F31" s="483" t="s">
        <v>642</v>
      </c>
      <c r="G31" s="484"/>
      <c r="H31" s="484"/>
      <c r="I31" s="646">
        <f>(I28*'2. COST VARIABLES'!C6)/I11</f>
        <v>0.015951143206521738</v>
      </c>
      <c r="J31"/>
      <c r="K31"/>
    </row>
    <row r="32" spans="1:11" ht="13.5" thickBot="1">
      <c r="A32" s="485" t="s">
        <v>105</v>
      </c>
      <c r="B32" s="486"/>
      <c r="C32" s="486"/>
      <c r="D32" s="640">
        <f>D16/D11</f>
        <v>0.00923913043478261</v>
      </c>
      <c r="E32" s="352"/>
      <c r="F32" s="486" t="s">
        <v>105</v>
      </c>
      <c r="G32" s="486"/>
      <c r="H32" s="486"/>
      <c r="I32" s="647">
        <f>I16/I11</f>
        <v>0.00923913043478261</v>
      </c>
      <c r="J32"/>
      <c r="K32"/>
    </row>
    <row r="33" spans="1:11" ht="13.5" thickBot="1">
      <c r="A33" s="634" t="s">
        <v>643</v>
      </c>
      <c r="B33" s="484"/>
      <c r="C33" s="484"/>
      <c r="D33" s="869">
        <f>D32+D31+D30+D27</f>
        <v>0.3649715702955163</v>
      </c>
      <c r="E33" s="341"/>
      <c r="F33" s="634" t="s">
        <v>643</v>
      </c>
      <c r="G33" s="484"/>
      <c r="H33" s="484"/>
      <c r="I33" s="870">
        <f>I32+I31+I30+I27</f>
        <v>0.3109246148267663</v>
      </c>
      <c r="J33"/>
      <c r="K33"/>
    </row>
    <row r="34" spans="1:11" ht="13.5" thickBot="1">
      <c r="A34" s="321"/>
      <c r="B34" s="322"/>
      <c r="C34" s="322"/>
      <c r="D34" s="336"/>
      <c r="E34" s="341"/>
      <c r="F34" s="338"/>
      <c r="G34" s="322"/>
      <c r="H34" s="322"/>
      <c r="I34" s="331"/>
      <c r="J34"/>
      <c r="K34"/>
    </row>
    <row r="35" spans="1:11" ht="12.75">
      <c r="A35" s="634" t="s">
        <v>644</v>
      </c>
      <c r="B35" s="648"/>
      <c r="C35" s="648"/>
      <c r="D35" s="649"/>
      <c r="E35" s="353"/>
      <c r="F35" s="634" t="s">
        <v>644</v>
      </c>
      <c r="G35" s="648"/>
      <c r="H35" s="648"/>
      <c r="I35" s="653"/>
      <c r="J35"/>
      <c r="K35"/>
    </row>
    <row r="36" spans="1:11" ht="12.75">
      <c r="A36" s="483" t="s">
        <v>436</v>
      </c>
      <c r="B36" s="484"/>
      <c r="C36" s="484"/>
      <c r="D36" s="880">
        <v>0.082</v>
      </c>
      <c r="E36" s="879"/>
      <c r="F36" s="484" t="s">
        <v>436</v>
      </c>
      <c r="G36" s="579"/>
      <c r="H36" s="484"/>
      <c r="I36" s="880">
        <v>0.081</v>
      </c>
      <c r="J36"/>
      <c r="K36"/>
    </row>
    <row r="37" spans="1:11" ht="12.75">
      <c r="A37" s="483" t="s">
        <v>439</v>
      </c>
      <c r="B37" s="484"/>
      <c r="C37" s="484"/>
      <c r="D37" s="639">
        <f>D23*D36</f>
        <v>0.08036</v>
      </c>
      <c r="E37" s="352"/>
      <c r="F37" s="483" t="s">
        <v>439</v>
      </c>
      <c r="G37" s="484"/>
      <c r="H37" s="484"/>
      <c r="I37" s="646">
        <f>I23*I36</f>
        <v>0.07938</v>
      </c>
      <c r="J37"/>
      <c r="K37"/>
    </row>
    <row r="38" spans="1:11" ht="12.75">
      <c r="A38" s="483" t="s">
        <v>636</v>
      </c>
      <c r="B38" s="484"/>
      <c r="C38" s="484"/>
      <c r="D38" s="639">
        <f>D37*0.15</f>
        <v>0.012054</v>
      </c>
      <c r="E38" s="352"/>
      <c r="F38" s="483" t="s">
        <v>636</v>
      </c>
      <c r="G38" s="484"/>
      <c r="H38" s="484"/>
      <c r="I38" s="646">
        <f>I37*0.15</f>
        <v>0.011907000000000001</v>
      </c>
      <c r="J38"/>
      <c r="K38"/>
    </row>
    <row r="39" spans="1:11" ht="12.75">
      <c r="A39" s="483" t="s">
        <v>637</v>
      </c>
      <c r="B39" s="484"/>
      <c r="C39" s="484"/>
      <c r="D39" s="639">
        <f>(D24%*D27)</f>
        <v>0.06125</v>
      </c>
      <c r="E39" s="352"/>
      <c r="F39" s="483" t="s">
        <v>637</v>
      </c>
      <c r="G39" s="484"/>
      <c r="H39" s="484"/>
      <c r="I39" s="646">
        <f>(I24%*I27)</f>
        <v>0.04975</v>
      </c>
      <c r="J39"/>
      <c r="K39"/>
    </row>
    <row r="40" spans="1:11" ht="12.75">
      <c r="A40" s="483" t="s">
        <v>638</v>
      </c>
      <c r="B40" s="484"/>
      <c r="C40" s="484"/>
      <c r="D40" s="639">
        <f>D17/1000</f>
        <v>0.033780000000000004</v>
      </c>
      <c r="E40" s="352"/>
      <c r="F40" s="483" t="s">
        <v>638</v>
      </c>
      <c r="G40" s="484"/>
      <c r="H40" s="484"/>
      <c r="I40" s="646">
        <f>I17/1000</f>
        <v>0.033780000000000004</v>
      </c>
      <c r="J40"/>
      <c r="K40"/>
    </row>
    <row r="41" spans="1:11" ht="13.5" thickBot="1">
      <c r="A41" s="483" t="s">
        <v>639</v>
      </c>
      <c r="B41" s="484"/>
      <c r="C41" s="484"/>
      <c r="D41" s="639">
        <f>D15/D14</f>
        <v>0.022857142857142857</v>
      </c>
      <c r="E41" s="352"/>
      <c r="F41" s="483" t="s">
        <v>639</v>
      </c>
      <c r="G41" s="484"/>
      <c r="H41" s="484"/>
      <c r="I41" s="646">
        <f>I15/I14</f>
        <v>0.022857142857142857</v>
      </c>
      <c r="J41"/>
      <c r="K41"/>
    </row>
    <row r="42" spans="1:11" ht="13.5" thickBot="1">
      <c r="A42" s="546" t="s">
        <v>640</v>
      </c>
      <c r="B42" s="547"/>
      <c r="C42" s="547"/>
      <c r="D42" s="650">
        <f>SUM(D37:D41)</f>
        <v>0.21030114285714285</v>
      </c>
      <c r="E42" s="342"/>
      <c r="F42" s="546" t="s">
        <v>640</v>
      </c>
      <c r="G42" s="547"/>
      <c r="H42" s="547"/>
      <c r="I42" s="654">
        <f>SUM(I37:I41)</f>
        <v>0.19767414285714288</v>
      </c>
      <c r="J42"/>
      <c r="K42"/>
    </row>
    <row r="43" spans="1:11" ht="13.5" thickBot="1">
      <c r="A43" s="321"/>
      <c r="B43" s="322"/>
      <c r="C43" s="322"/>
      <c r="D43" s="337"/>
      <c r="E43" s="342"/>
      <c r="F43" s="338"/>
      <c r="G43" s="322"/>
      <c r="H43" s="322"/>
      <c r="I43" s="332"/>
      <c r="J43"/>
      <c r="K43"/>
    </row>
    <row r="44" spans="1:11" ht="13.5" thickBot="1">
      <c r="A44" s="546" t="s">
        <v>437</v>
      </c>
      <c r="B44" s="479"/>
      <c r="C44" s="479"/>
      <c r="D44" s="651">
        <f>(D42+D33)*D10</f>
        <v>92.04363410442546</v>
      </c>
      <c r="E44" s="342"/>
      <c r="F44" s="655" t="s">
        <v>437</v>
      </c>
      <c r="G44" s="479"/>
      <c r="H44" s="479"/>
      <c r="I44" s="656">
        <f>(I42+I33)*I10</f>
        <v>81.37580122942546</v>
      </c>
      <c r="J44"/>
      <c r="K44"/>
    </row>
    <row r="45" spans="1:11" ht="12.75">
      <c r="A45" s="375"/>
      <c r="B45" s="375"/>
      <c r="C45" s="375"/>
      <c r="D45" s="376"/>
      <c r="E45" s="376"/>
      <c r="F45" s="375"/>
      <c r="G45" s="375"/>
      <c r="H45" s="375"/>
      <c r="I45" s="376"/>
      <c r="J45" s="51"/>
      <c r="K45"/>
    </row>
    <row r="46" spans="2:10" ht="12.75">
      <c r="B46" s="4"/>
      <c r="C46" s="4"/>
      <c r="D46" s="377"/>
      <c r="E46" s="377"/>
      <c r="F46" s="4"/>
      <c r="G46" s="4"/>
      <c r="H46" s="4"/>
      <c r="I46" s="377"/>
      <c r="J46" s="378"/>
    </row>
    <row r="47" spans="2:10" ht="12.75">
      <c r="B47" s="4"/>
      <c r="C47" s="4"/>
      <c r="D47" s="389"/>
      <c r="E47" s="377"/>
      <c r="F47" s="4"/>
      <c r="G47" s="4"/>
      <c r="H47" s="4"/>
      <c r="I47" s="389"/>
      <c r="J47" s="378"/>
    </row>
    <row r="48" spans="2:10" ht="12.75">
      <c r="B48" s="4"/>
      <c r="C48" s="4"/>
      <c r="D48" s="377"/>
      <c r="E48" s="377"/>
      <c r="F48" s="4"/>
      <c r="G48" s="4"/>
      <c r="H48" s="4"/>
      <c r="I48" s="377"/>
      <c r="J48" s="378"/>
    </row>
    <row r="49" spans="2:10" ht="12.75">
      <c r="B49" s="4"/>
      <c r="C49" s="4"/>
      <c r="D49" s="377"/>
      <c r="E49" s="377"/>
      <c r="F49" s="4"/>
      <c r="G49" s="4"/>
      <c r="H49" s="4"/>
      <c r="I49" s="377"/>
      <c r="J49" s="378"/>
    </row>
    <row r="50" spans="2:9" ht="12.75">
      <c r="B50" s="4"/>
      <c r="C50" s="4"/>
      <c r="D50" s="377"/>
      <c r="E50" s="377"/>
      <c r="F50" s="4"/>
      <c r="G50" s="4"/>
      <c r="H50" s="4"/>
      <c r="I50" s="377"/>
    </row>
    <row r="51" spans="2:9" ht="12.75">
      <c r="B51" s="4"/>
      <c r="C51" s="4"/>
      <c r="D51" s="377"/>
      <c r="E51" s="377"/>
      <c r="F51" s="4"/>
      <c r="G51" s="4"/>
      <c r="H51" s="4"/>
      <c r="I51" s="377"/>
    </row>
    <row r="52" spans="2:9" ht="12.75">
      <c r="B52" s="51"/>
      <c r="C52" s="51"/>
      <c r="D52" s="339"/>
      <c r="F52" s="378"/>
      <c r="G52" s="378"/>
      <c r="H52" s="378"/>
      <c r="I52" s="379"/>
    </row>
    <row r="53" spans="2:9" ht="12.75">
      <c r="B53" s="51"/>
      <c r="C53" s="51"/>
      <c r="D53" s="339"/>
      <c r="F53" s="378"/>
      <c r="G53" s="378"/>
      <c r="H53" s="378"/>
      <c r="I53" s="379"/>
    </row>
  </sheetData>
  <sheetProtection password="8FA7" sheet="1" objects="1" scenarios="1"/>
  <protectedRanges>
    <protectedRange password="8FA7" sqref="D5:D10 D12:D16 D19:D20 D24 D36 I5:I10 I12:I16 I19:I20 I24 I36" name="Range1"/>
  </protectedRanges>
  <mergeCells count="1">
    <mergeCell ref="A1:I1"/>
  </mergeCells>
  <printOptions horizontalCentered="1"/>
  <pageMargins left="0.75" right="0.75" top="0.29" bottom="0.43" header="0.25" footer="0.18"/>
  <pageSetup blackAndWhite="1"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D1"/>
    </sheetView>
  </sheetViews>
  <sheetFormatPr defaultColWidth="9.140625" defaultRowHeight="12.75"/>
  <cols>
    <col min="1" max="1" width="33.421875" style="0" customWidth="1"/>
    <col min="2" max="2" width="18.7109375" style="0" customWidth="1"/>
    <col min="3" max="3" width="12.140625" style="0" customWidth="1"/>
    <col min="4" max="4" width="16.7109375" style="0" customWidth="1"/>
  </cols>
  <sheetData>
    <row r="1" spans="1:13" s="214" customFormat="1" ht="28.5" customHeight="1" thickBot="1">
      <c r="A1" s="896" t="s">
        <v>646</v>
      </c>
      <c r="B1" s="897"/>
      <c r="C1" s="897"/>
      <c r="D1" s="898"/>
      <c r="E1" s="218" t="s">
        <v>6</v>
      </c>
      <c r="L1" s="213"/>
      <c r="M1" s="213"/>
    </row>
    <row r="2" spans="1:13" s="214" customFormat="1" ht="15.75" customHeight="1" thickBot="1">
      <c r="A2" s="434" t="s">
        <v>538</v>
      </c>
      <c r="B2" s="436"/>
      <c r="C2" s="438"/>
      <c r="D2" s="439"/>
      <c r="E2" s="218"/>
      <c r="L2" s="213"/>
      <c r="M2" s="213"/>
    </row>
    <row r="3" spans="1:4" ht="13.5" thickBot="1">
      <c r="A3" s="318"/>
      <c r="B3" s="319"/>
      <c r="C3" s="319"/>
      <c r="D3" s="320"/>
    </row>
    <row r="4" spans="1:4" ht="26.25" thickBot="1">
      <c r="A4" s="535" t="s">
        <v>433</v>
      </c>
      <c r="B4" s="536" t="s">
        <v>156</v>
      </c>
      <c r="C4" s="536" t="s">
        <v>512</v>
      </c>
      <c r="D4" s="537" t="s">
        <v>432</v>
      </c>
    </row>
    <row r="5" spans="1:5" ht="12.75">
      <c r="A5" s="516" t="s">
        <v>647</v>
      </c>
      <c r="B5" s="517">
        <v>200</v>
      </c>
      <c r="C5" s="516">
        <v>2</v>
      </c>
      <c r="D5" s="538">
        <f>B5*C5</f>
        <v>400</v>
      </c>
      <c r="E5" s="881"/>
    </row>
    <row r="6" spans="1:5" ht="12.75">
      <c r="A6" s="516" t="s">
        <v>412</v>
      </c>
      <c r="B6" s="517">
        <v>75</v>
      </c>
      <c r="C6" s="516">
        <v>3</v>
      </c>
      <c r="D6" s="538">
        <f aca="true" t="shared" si="0" ref="D6:D24">B6*C6</f>
        <v>225</v>
      </c>
      <c r="E6" s="881"/>
    </row>
    <row r="7" spans="1:5" ht="12.75">
      <c r="A7" s="516" t="s">
        <v>513</v>
      </c>
      <c r="B7" s="517">
        <v>265</v>
      </c>
      <c r="C7" s="516">
        <v>2</v>
      </c>
      <c r="D7" s="538">
        <f t="shared" si="0"/>
        <v>530</v>
      </c>
      <c r="E7" s="881"/>
    </row>
    <row r="8" spans="1:5" ht="12.75">
      <c r="A8" s="516" t="s">
        <v>648</v>
      </c>
      <c r="B8" s="517">
        <v>75</v>
      </c>
      <c r="C8" s="516">
        <v>3</v>
      </c>
      <c r="D8" s="538">
        <f t="shared" si="0"/>
        <v>225</v>
      </c>
      <c r="E8" s="881"/>
    </row>
    <row r="9" spans="1:5" ht="12.75">
      <c r="A9" s="516" t="s">
        <v>84</v>
      </c>
      <c r="B9" s="517">
        <v>4000</v>
      </c>
      <c r="C9" s="516">
        <v>1</v>
      </c>
      <c r="D9" s="538">
        <f t="shared" si="0"/>
        <v>4000</v>
      </c>
      <c r="E9" s="881"/>
    </row>
    <row r="10" spans="1:5" ht="12.75">
      <c r="A10" s="516" t="s">
        <v>649</v>
      </c>
      <c r="B10" s="517">
        <v>200</v>
      </c>
      <c r="C10" s="516">
        <v>2</v>
      </c>
      <c r="D10" s="538">
        <f t="shared" si="0"/>
        <v>400</v>
      </c>
      <c r="E10" s="881"/>
    </row>
    <row r="11" spans="1:5" ht="12.75">
      <c r="A11" s="516" t="s">
        <v>650</v>
      </c>
      <c r="B11" s="517">
        <v>2000</v>
      </c>
      <c r="C11" s="516">
        <v>1</v>
      </c>
      <c r="D11" s="538">
        <f t="shared" si="0"/>
        <v>2000</v>
      </c>
      <c r="E11" s="881"/>
    </row>
    <row r="12" spans="1:5" ht="12.75">
      <c r="A12" s="516" t="s">
        <v>413</v>
      </c>
      <c r="B12" s="517">
        <v>3000</v>
      </c>
      <c r="C12" s="516">
        <v>1</v>
      </c>
      <c r="D12" s="538">
        <f t="shared" si="0"/>
        <v>3000</v>
      </c>
      <c r="E12" s="881"/>
    </row>
    <row r="13" spans="1:5" ht="12.75">
      <c r="A13" s="516" t="s">
        <v>651</v>
      </c>
      <c r="B13" s="517">
        <v>50</v>
      </c>
      <c r="C13" s="516">
        <v>15</v>
      </c>
      <c r="D13" s="538">
        <f t="shared" si="0"/>
        <v>750</v>
      </c>
      <c r="E13" s="881"/>
    </row>
    <row r="14" spans="1:5" ht="12.75">
      <c r="A14" s="516" t="s">
        <v>656</v>
      </c>
      <c r="B14" s="517">
        <v>50</v>
      </c>
      <c r="C14" s="516">
        <v>10</v>
      </c>
      <c r="D14" s="538">
        <f t="shared" si="0"/>
        <v>500</v>
      </c>
      <c r="E14" s="881"/>
    </row>
    <row r="15" spans="1:5" ht="12.75">
      <c r="A15" s="516" t="s">
        <v>652</v>
      </c>
      <c r="B15" s="517">
        <v>150</v>
      </c>
      <c r="C15" s="516">
        <v>5</v>
      </c>
      <c r="D15" s="538">
        <f t="shared" si="0"/>
        <v>750</v>
      </c>
      <c r="E15" s="881"/>
    </row>
    <row r="16" spans="1:4" ht="12.75">
      <c r="A16" s="516" t="s">
        <v>653</v>
      </c>
      <c r="B16" s="517">
        <v>100</v>
      </c>
      <c r="C16" s="516">
        <v>5</v>
      </c>
      <c r="D16" s="538">
        <f t="shared" si="0"/>
        <v>500</v>
      </c>
    </row>
    <row r="17" spans="1:4" ht="12.75">
      <c r="A17" s="516" t="s">
        <v>654</v>
      </c>
      <c r="B17" s="517">
        <v>150</v>
      </c>
      <c r="C17" s="516">
        <v>5</v>
      </c>
      <c r="D17" s="538">
        <f t="shared" si="0"/>
        <v>750</v>
      </c>
    </row>
    <row r="18" spans="1:5" ht="12.75">
      <c r="A18" s="518" t="s">
        <v>655</v>
      </c>
      <c r="B18" s="519">
        <v>50</v>
      </c>
      <c r="C18" s="518">
        <v>5</v>
      </c>
      <c r="D18" s="538">
        <f t="shared" si="0"/>
        <v>250</v>
      </c>
      <c r="E18" s="881"/>
    </row>
    <row r="19" spans="1:4" ht="12.75">
      <c r="A19" s="518" t="s">
        <v>94</v>
      </c>
      <c r="B19" s="519"/>
      <c r="C19" s="518"/>
      <c r="D19" s="538">
        <f t="shared" si="0"/>
        <v>0</v>
      </c>
    </row>
    <row r="20" spans="1:4" ht="12.75">
      <c r="A20" s="518"/>
      <c r="B20" s="519"/>
      <c r="C20" s="518"/>
      <c r="D20" s="538">
        <f t="shared" si="0"/>
        <v>0</v>
      </c>
    </row>
    <row r="21" spans="1:4" ht="12.75">
      <c r="A21" s="518"/>
      <c r="B21" s="519"/>
      <c r="C21" s="518"/>
      <c r="D21" s="538">
        <f t="shared" si="0"/>
        <v>0</v>
      </c>
    </row>
    <row r="22" spans="1:4" ht="12.75">
      <c r="A22" s="518"/>
      <c r="B22" s="519"/>
      <c r="C22" s="518"/>
      <c r="D22" s="538">
        <f t="shared" si="0"/>
        <v>0</v>
      </c>
    </row>
    <row r="23" spans="1:4" ht="12.75">
      <c r="A23" s="520"/>
      <c r="B23" s="521"/>
      <c r="C23" s="520"/>
      <c r="D23" s="538">
        <f t="shared" si="0"/>
        <v>0</v>
      </c>
    </row>
    <row r="24" spans="1:4" ht="13.5" thickBot="1">
      <c r="A24" s="522"/>
      <c r="B24" s="523"/>
      <c r="C24" s="522"/>
      <c r="D24" s="539">
        <f t="shared" si="0"/>
        <v>0</v>
      </c>
    </row>
    <row r="25" spans="1:14" ht="13.5" thickBot="1">
      <c r="A25" s="541" t="s">
        <v>429</v>
      </c>
      <c r="B25" s="486"/>
      <c r="C25" s="486"/>
      <c r="D25" s="540">
        <f>SUM(D5:D24)</f>
        <v>14280</v>
      </c>
      <c r="H25" s="51"/>
      <c r="I25" s="51"/>
      <c r="J25" s="51"/>
      <c r="K25" s="51"/>
      <c r="L25" s="51"/>
      <c r="M25" s="51"/>
      <c r="N25" s="51"/>
    </row>
    <row r="26" spans="1:14" ht="13.5" thickBot="1">
      <c r="A26" s="321"/>
      <c r="B26" s="322"/>
      <c r="C26" s="322"/>
      <c r="D26" s="323"/>
      <c r="H26" s="51"/>
      <c r="I26" s="51"/>
      <c r="J26" s="51"/>
      <c r="K26" s="51"/>
      <c r="L26" s="51"/>
      <c r="M26" s="51"/>
      <c r="N26" s="51"/>
    </row>
    <row r="27" spans="1:14" ht="26.25" thickBot="1">
      <c r="A27" s="542" t="s">
        <v>434</v>
      </c>
      <c r="B27" s="536" t="s">
        <v>156</v>
      </c>
      <c r="C27" s="536" t="s">
        <v>514</v>
      </c>
      <c r="D27" s="537" t="s">
        <v>432</v>
      </c>
      <c r="H27" s="4"/>
      <c r="I27" s="4"/>
      <c r="J27" s="4"/>
      <c r="K27" s="4"/>
      <c r="L27" s="4"/>
      <c r="M27" s="4"/>
      <c r="N27" s="51"/>
    </row>
    <row r="28" spans="1:14" ht="12.75">
      <c r="A28" s="524" t="s">
        <v>415</v>
      </c>
      <c r="B28" s="525">
        <v>2131</v>
      </c>
      <c r="C28" s="526">
        <v>1</v>
      </c>
      <c r="D28" s="543">
        <f>B28*C28</f>
        <v>2131</v>
      </c>
      <c r="H28" s="4"/>
      <c r="I28" s="4"/>
      <c r="J28" s="4"/>
      <c r="K28" s="4"/>
      <c r="L28" s="4"/>
      <c r="M28" s="4"/>
      <c r="N28" s="51"/>
    </row>
    <row r="29" spans="1:14" ht="12.75">
      <c r="A29" s="527" t="s">
        <v>414</v>
      </c>
      <c r="B29" s="528">
        <v>3000</v>
      </c>
      <c r="C29" s="529">
        <v>1</v>
      </c>
      <c r="D29" s="544">
        <f aca="true" t="shared" si="1" ref="D29:D36">B29*C29</f>
        <v>3000</v>
      </c>
      <c r="H29" s="4"/>
      <c r="I29" s="4"/>
      <c r="J29" s="4"/>
      <c r="K29" s="4"/>
      <c r="L29" s="4"/>
      <c r="M29" s="4"/>
      <c r="N29" s="51"/>
    </row>
    <row r="30" spans="1:14" ht="12.75">
      <c r="A30" s="527" t="s">
        <v>107</v>
      </c>
      <c r="B30" s="528">
        <v>3000</v>
      </c>
      <c r="C30" s="529">
        <v>1</v>
      </c>
      <c r="D30" s="544">
        <f t="shared" si="1"/>
        <v>3000</v>
      </c>
      <c r="H30" s="4"/>
      <c r="I30" s="4"/>
      <c r="J30" s="4"/>
      <c r="K30" s="4"/>
      <c r="L30" s="4"/>
      <c r="M30" s="4"/>
      <c r="N30" s="51"/>
    </row>
    <row r="31" spans="1:5" ht="12.75">
      <c r="A31" s="527" t="s">
        <v>109</v>
      </c>
      <c r="B31" s="528">
        <v>5000</v>
      </c>
      <c r="C31" s="529">
        <v>1</v>
      </c>
      <c r="D31" s="544">
        <f t="shared" si="1"/>
        <v>5000</v>
      </c>
      <c r="E31" s="881"/>
    </row>
    <row r="32" spans="1:5" ht="12.75">
      <c r="A32" s="530" t="s">
        <v>515</v>
      </c>
      <c r="B32" s="531">
        <v>1100</v>
      </c>
      <c r="C32" s="518">
        <v>1</v>
      </c>
      <c r="D32" s="544">
        <f t="shared" si="1"/>
        <v>1100</v>
      </c>
      <c r="E32" s="881"/>
    </row>
    <row r="33" spans="1:4" ht="12.75">
      <c r="A33" s="530" t="s">
        <v>94</v>
      </c>
      <c r="B33" s="531"/>
      <c r="C33" s="518"/>
      <c r="D33" s="544">
        <f t="shared" si="1"/>
        <v>0</v>
      </c>
    </row>
    <row r="34" spans="1:4" ht="12.75">
      <c r="A34" s="530"/>
      <c r="B34" s="531"/>
      <c r="C34" s="518"/>
      <c r="D34" s="544">
        <f t="shared" si="1"/>
        <v>0</v>
      </c>
    </row>
    <row r="35" spans="1:4" ht="12.75">
      <c r="A35" s="527"/>
      <c r="B35" s="528"/>
      <c r="C35" s="516"/>
      <c r="D35" s="544">
        <f t="shared" si="1"/>
        <v>0</v>
      </c>
    </row>
    <row r="36" spans="1:4" ht="13.5" thickBot="1">
      <c r="A36" s="532"/>
      <c r="B36" s="533"/>
      <c r="C36" s="534"/>
      <c r="D36" s="545">
        <f t="shared" si="1"/>
        <v>0</v>
      </c>
    </row>
    <row r="37" spans="1:4" ht="13.5" thickBot="1">
      <c r="A37" s="546" t="s">
        <v>430</v>
      </c>
      <c r="B37" s="547"/>
      <c r="C37" s="547"/>
      <c r="D37" s="540">
        <f>SUM(D28:D36)</f>
        <v>14231</v>
      </c>
    </row>
    <row r="38" spans="1:4" ht="13.5" thickBot="1">
      <c r="A38" s="324"/>
      <c r="B38" s="319"/>
      <c r="C38" s="319"/>
      <c r="D38" s="325"/>
    </row>
    <row r="39" spans="1:4" ht="16.5" thickBot="1">
      <c r="A39" s="548" t="s">
        <v>657</v>
      </c>
      <c r="B39" s="547"/>
      <c r="C39" s="883">
        <v>0.005</v>
      </c>
      <c r="D39" s="551">
        <f>$C$39*SUM(B28:B36)</f>
        <v>71.155</v>
      </c>
    </row>
    <row r="40" spans="1:4" ht="15.75">
      <c r="A40" s="542"/>
      <c r="B40" s="484"/>
      <c r="C40" s="484"/>
      <c r="D40" s="552"/>
    </row>
    <row r="41" spans="1:4" ht="16.5" thickBot="1">
      <c r="A41" s="549" t="s">
        <v>534</v>
      </c>
      <c r="B41" s="550"/>
      <c r="C41" s="882">
        <v>0.03</v>
      </c>
      <c r="D41" s="553">
        <f>'6. LABOUR'!K25*'8. OPERATING SUPPLIES'!C41</f>
        <v>11572.233854999999</v>
      </c>
    </row>
    <row r="42" spans="1:4" ht="16.5" thickBot="1">
      <c r="A42" s="542"/>
      <c r="B42" s="484"/>
      <c r="C42" s="484"/>
      <c r="D42" s="552"/>
    </row>
    <row r="43" spans="1:4" ht="16.5" thickBot="1">
      <c r="A43" s="548" t="s">
        <v>535</v>
      </c>
      <c r="B43" s="547"/>
      <c r="C43" s="554"/>
      <c r="D43" s="555">
        <f>(D25+D37+D39+D41)/'1. JOB COST SUMMARY'!G7</f>
        <v>174.5842993695652</v>
      </c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</sheetData>
  <sheetProtection password="8FA7" sheet="1" objects="1" scenarios="1"/>
  <protectedRanges>
    <protectedRange password="8FA7" sqref="A5:C24 A28:C36 C39 C41" name="Range1"/>
  </protectedRanges>
  <mergeCells count="1">
    <mergeCell ref="A1:D1"/>
  </mergeCells>
  <printOptions horizontalCentered="1"/>
  <pageMargins left="0.75" right="0.75" top="1" bottom="1" header="0.5" footer="0.5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raym_k</cp:lastModifiedBy>
  <cp:lastPrinted>2009-09-07T03:47:23Z</cp:lastPrinted>
  <dcterms:created xsi:type="dcterms:W3CDTF">1997-12-18T16:27:11Z</dcterms:created>
  <dcterms:modified xsi:type="dcterms:W3CDTF">2009-09-07T03:53:12Z</dcterms:modified>
  <cp:category/>
  <cp:version/>
  <cp:contentType/>
  <cp:contentStatus/>
</cp:coreProperties>
</file>